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66925"/>
  <mc:AlternateContent xmlns:mc="http://schemas.openxmlformats.org/markup-compatibility/2006">
    <mc:Choice Requires="x15">
      <x15ac:absPath xmlns:x15ac="http://schemas.microsoft.com/office/spreadsheetml/2010/11/ac" url="C:\Users\siddh\Desktop\Current Folder\C3\"/>
    </mc:Choice>
  </mc:AlternateContent>
  <xr:revisionPtr revIDLastSave="0" documentId="13_ncr:1_{7A2F3981-F093-46D8-94CB-5EE671183DF5}" xr6:coauthVersionLast="47" xr6:coauthVersionMax="47" xr10:uidLastSave="{00000000-0000-0000-0000-000000000000}"/>
  <bookViews>
    <workbookView xWindow="-110" yWindow="-110" windowWidth="19420" windowHeight="10300" tabRatio="765" activeTab="3"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Progress'!$C$2:$O$3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concurrentCalc="0"/>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8" l="1"/>
  <c r="D47" i="8"/>
  <c r="D16" i="8"/>
  <c r="AC5" i="2"/>
  <c r="AB5" i="2"/>
  <c r="AA5" i="2"/>
  <c r="Z5" i="2"/>
  <c r="Y5" i="2"/>
  <c r="X5" i="2"/>
  <c r="W5" i="2"/>
  <c r="V5" i="2"/>
  <c r="AC4" i="2"/>
  <c r="AB4" i="2"/>
  <c r="AA4" i="2"/>
  <c r="Z4" i="2"/>
  <c r="Y4" i="2"/>
  <c r="X4" i="2"/>
  <c r="W4" i="2"/>
  <c r="V4" i="2"/>
  <c r="L40" i="5"/>
  <c r="K40" i="5"/>
  <c r="J40" i="5"/>
  <c r="I40" i="5"/>
  <c r="S40" i="5"/>
  <c r="H40" i="5"/>
  <c r="G40" i="5"/>
  <c r="F40" i="5"/>
  <c r="Q40" i="5"/>
  <c r="L39" i="5"/>
  <c r="K39" i="5"/>
  <c r="J39" i="5"/>
  <c r="I39" i="5"/>
  <c r="H39" i="5"/>
  <c r="G39" i="5"/>
  <c r="F39" i="5"/>
  <c r="Q39" i="5"/>
  <c r="L38" i="5"/>
  <c r="K38" i="5"/>
  <c r="J38" i="5"/>
  <c r="I38" i="5"/>
  <c r="H38" i="5"/>
  <c r="G38" i="5"/>
  <c r="F38" i="5"/>
  <c r="Q38" i="5"/>
  <c r="L37" i="5"/>
  <c r="K37" i="5"/>
  <c r="J37" i="5"/>
  <c r="I37" i="5"/>
  <c r="H37" i="5"/>
  <c r="G37" i="5"/>
  <c r="F37" i="5"/>
  <c r="Q37" i="5"/>
  <c r="L36" i="5"/>
  <c r="K36" i="5"/>
  <c r="J36" i="5"/>
  <c r="I36" i="5"/>
  <c r="H36" i="5"/>
  <c r="G36" i="5"/>
  <c r="F36" i="5"/>
  <c r="L35" i="5"/>
  <c r="K35" i="5"/>
  <c r="J35" i="5"/>
  <c r="I35" i="5"/>
  <c r="H35" i="5"/>
  <c r="G35" i="5"/>
  <c r="F35" i="5"/>
  <c r="L34" i="5"/>
  <c r="K34" i="5"/>
  <c r="J34" i="5"/>
  <c r="I34" i="5"/>
  <c r="H34" i="5"/>
  <c r="G34" i="5"/>
  <c r="F34" i="5"/>
  <c r="N33" i="5"/>
  <c r="L33" i="5"/>
  <c r="K33" i="5"/>
  <c r="J33" i="5"/>
  <c r="I33" i="5"/>
  <c r="H33" i="5"/>
  <c r="G33" i="5"/>
  <c r="F33" i="5"/>
  <c r="X40" i="5"/>
  <c r="E40" i="5"/>
  <c r="D40" i="5"/>
  <c r="AF22" i="2"/>
  <c r="AG22" i="2"/>
  <c r="AH22" i="2"/>
  <c r="AJ31" i="2"/>
  <c r="AJ9" i="2"/>
  <c r="AJ10" i="2"/>
  <c r="AJ38" i="2"/>
  <c r="AJ39" i="2"/>
  <c r="AJ11" i="2"/>
  <c r="AJ26" i="2"/>
  <c r="AJ27" i="2"/>
  <c r="AJ28" i="2"/>
  <c r="AJ29" i="2"/>
  <c r="AJ22" i="2"/>
  <c r="AJ23" i="2"/>
  <c r="AJ24" i="2"/>
  <c r="AJ40" i="2"/>
  <c r="AJ15" i="2"/>
  <c r="AJ16" i="2"/>
  <c r="AJ17" i="2"/>
  <c r="AJ18" i="2"/>
  <c r="AJ19" i="2"/>
  <c r="AJ20" i="2"/>
  <c r="AJ21" i="2"/>
  <c r="AJ25" i="2"/>
  <c r="AJ32" i="2"/>
  <c r="AJ33" i="2"/>
  <c r="AJ34" i="2"/>
  <c r="AJ12" i="2"/>
  <c r="AJ13" i="2"/>
  <c r="AJ14" i="2"/>
  <c r="AJ35" i="2"/>
  <c r="AJ36" i="2"/>
  <c r="AJ37" i="2"/>
  <c r="AJ30" i="2"/>
  <c r="B5" i="5"/>
  <c r="C10" i="8"/>
  <c r="F18" i="8"/>
  <c r="F22" i="8"/>
  <c r="F21" i="8"/>
  <c r="C12" i="8"/>
  <c r="D22" i="8"/>
  <c r="D21" i="8"/>
  <c r="D18" i="8"/>
  <c r="D51" i="8"/>
  <c r="C18" i="8"/>
  <c r="C17" i="8"/>
  <c r="T4" i="2"/>
  <c r="U35" i="2"/>
  <c r="AF30" i="2"/>
  <c r="AF31" i="2"/>
  <c r="AF9" i="2"/>
  <c r="AF39" i="2"/>
  <c r="AF11" i="2"/>
  <c r="AF29" i="2"/>
  <c r="AF20" i="2"/>
  <c r="AF21" i="2"/>
  <c r="AF25" i="2"/>
  <c r="AF32" i="2"/>
  <c r="AF33" i="2"/>
  <c r="AF10" i="2"/>
  <c r="AF38" i="2"/>
  <c r="G30" i="2"/>
  <c r="G31" i="2"/>
  <c r="G9" i="2"/>
  <c r="G10" i="2"/>
  <c r="G38" i="2"/>
  <c r="G39" i="2"/>
  <c r="G11" i="2"/>
  <c r="G26" i="2"/>
  <c r="G27" i="2"/>
  <c r="G28" i="2"/>
  <c r="G29" i="2"/>
  <c r="G22" i="2"/>
  <c r="G23" i="2"/>
  <c r="G24" i="2"/>
  <c r="G40" i="2"/>
  <c r="G15" i="2"/>
  <c r="G16" i="2"/>
  <c r="G17" i="2"/>
  <c r="G18" i="2"/>
  <c r="G19" i="2"/>
  <c r="G20" i="2"/>
  <c r="G21" i="2"/>
  <c r="G25" i="2"/>
  <c r="G32" i="2"/>
  <c r="G33" i="2"/>
  <c r="G34" i="2"/>
  <c r="G12" i="2"/>
  <c r="G13" i="2"/>
  <c r="G14" i="2"/>
  <c r="G35" i="2"/>
  <c r="G36" i="2"/>
  <c r="G37" i="2"/>
  <c r="T5" i="2"/>
  <c r="D54" i="8"/>
  <c r="AF26" i="2"/>
  <c r="AF27" i="2"/>
  <c r="AF28" i="2"/>
  <c r="AF19" i="2"/>
  <c r="AF23" i="2"/>
  <c r="AF34" i="2"/>
  <c r="AF40" i="2"/>
  <c r="AF15" i="2"/>
  <c r="AF16" i="2"/>
  <c r="AF17" i="2"/>
  <c r="AF18" i="2"/>
  <c r="AF12" i="2"/>
  <c r="AF35" i="2"/>
  <c r="AF36" i="2"/>
  <c r="AF13" i="2"/>
  <c r="AF14" i="2"/>
  <c r="AF24" i="2"/>
  <c r="AF37" i="2"/>
  <c r="F13" i="1"/>
  <c r="C21" i="1"/>
  <c r="AI30" i="2"/>
  <c r="AI31" i="2"/>
  <c r="AI9" i="2"/>
  <c r="AI39" i="2"/>
  <c r="AI11" i="2"/>
  <c r="AI29" i="2"/>
  <c r="AI22" i="2"/>
  <c r="AI20" i="2"/>
  <c r="AI21" i="2"/>
  <c r="AI25" i="2"/>
  <c r="AI32" i="2"/>
  <c r="AI33" i="2"/>
  <c r="AI10" i="2"/>
  <c r="AI38" i="2"/>
  <c r="AI26" i="2"/>
  <c r="AI27" i="2"/>
  <c r="AI28" i="2"/>
  <c r="AI19" i="2"/>
  <c r="AI23" i="2"/>
  <c r="AI34" i="2"/>
  <c r="AI40" i="2"/>
  <c r="AI15" i="2"/>
  <c r="AI16" i="2"/>
  <c r="AI17" i="2"/>
  <c r="AI18" i="2"/>
  <c r="AI12" i="2"/>
  <c r="AI35" i="2"/>
  <c r="AI36" i="2"/>
  <c r="AI13" i="2"/>
  <c r="AI14" i="2"/>
  <c r="AI24" i="2"/>
  <c r="AI37" i="2"/>
  <c r="N39" i="5"/>
  <c r="E39" i="5"/>
  <c r="D39" i="5"/>
  <c r="N38" i="5"/>
  <c r="E38" i="5"/>
  <c r="D38" i="5"/>
  <c r="N37" i="5"/>
  <c r="E37" i="5"/>
  <c r="D37" i="5"/>
  <c r="N36" i="5"/>
  <c r="E36" i="5"/>
  <c r="D36" i="5"/>
  <c r="N35" i="5"/>
  <c r="E35" i="5"/>
  <c r="D35" i="5"/>
  <c r="N34" i="5"/>
  <c r="E34" i="5"/>
  <c r="D34" i="5"/>
  <c r="E33" i="5"/>
  <c r="D33" i="5"/>
  <c r="L32" i="5"/>
  <c r="K32" i="5"/>
  <c r="J32" i="5"/>
  <c r="I32" i="5"/>
  <c r="H32" i="5"/>
  <c r="G32" i="5"/>
  <c r="E7" i="8"/>
  <c r="K7" i="8"/>
  <c r="E4" i="8"/>
  <c r="E3" i="8"/>
  <c r="J4" i="8"/>
  <c r="G3" i="8"/>
  <c r="AG30" i="2"/>
  <c r="AH30" i="2"/>
  <c r="AG31" i="2"/>
  <c r="AH31" i="2"/>
  <c r="AG9" i="2"/>
  <c r="AH9" i="2"/>
  <c r="AG39" i="2"/>
  <c r="AH39" i="2"/>
  <c r="AG11" i="2"/>
  <c r="AH11" i="2"/>
  <c r="AG29" i="2"/>
  <c r="AH29" i="2"/>
  <c r="AG20" i="2"/>
  <c r="AH20" i="2"/>
  <c r="AG21" i="2"/>
  <c r="AH21" i="2"/>
  <c r="AG25" i="2"/>
  <c r="AH25" i="2"/>
  <c r="AG32" i="2"/>
  <c r="AH32" i="2"/>
  <c r="AG33" i="2"/>
  <c r="AH33" i="2"/>
  <c r="AG10" i="2"/>
  <c r="AH10" i="2"/>
  <c r="AG38" i="2"/>
  <c r="AH38" i="2"/>
  <c r="AG26" i="2"/>
  <c r="AH26" i="2"/>
  <c r="AG27" i="2"/>
  <c r="AH27" i="2"/>
  <c r="AG28" i="2"/>
  <c r="AH28" i="2"/>
  <c r="AG19" i="2"/>
  <c r="AH19" i="2"/>
  <c r="AG23" i="2"/>
  <c r="AH23" i="2"/>
  <c r="AG34" i="2"/>
  <c r="AH34" i="2"/>
  <c r="AG40" i="2"/>
  <c r="AH40" i="2"/>
  <c r="AG15" i="2"/>
  <c r="AH15" i="2"/>
  <c r="AG16" i="2"/>
  <c r="AH16" i="2"/>
  <c r="AG17" i="2"/>
  <c r="AH17" i="2"/>
  <c r="AG18" i="2"/>
  <c r="AH18" i="2"/>
  <c r="AG12" i="2"/>
  <c r="AH12" i="2"/>
  <c r="AG35" i="2"/>
  <c r="AH35" i="2"/>
  <c r="AG36" i="2"/>
  <c r="AH36" i="2"/>
  <c r="AG13" i="2"/>
  <c r="AH13" i="2"/>
  <c r="AG14" i="2"/>
  <c r="AH14" i="2"/>
  <c r="AG24" i="2"/>
  <c r="AH24" i="2"/>
  <c r="AG37" i="2"/>
  <c r="AH37" i="2"/>
  <c r="M41" i="5"/>
  <c r="AD2" i="2"/>
  <c r="T6" i="2"/>
  <c r="M6" i="2"/>
  <c r="S6" i="2"/>
  <c r="R6" i="2"/>
  <c r="Q6" i="2"/>
  <c r="P6" i="2"/>
  <c r="O6" i="2"/>
  <c r="N6" i="2"/>
  <c r="X39" i="5"/>
  <c r="X38" i="5"/>
  <c r="X37" i="5"/>
  <c r="X36" i="5"/>
  <c r="X35" i="5"/>
  <c r="X34" i="5"/>
  <c r="X33" i="5"/>
  <c r="D61" i="8"/>
  <c r="K3" i="8"/>
  <c r="E6" i="8"/>
  <c r="E5" i="8"/>
  <c r="F7" i="8"/>
  <c r="I7" i="8"/>
  <c r="T40" i="5"/>
  <c r="U40" i="5"/>
  <c r="AC40" i="5"/>
  <c r="O40" i="5"/>
  <c r="AA40" i="5"/>
  <c r="K5" i="8"/>
  <c r="F5" i="8"/>
  <c r="I5" i="8"/>
  <c r="J6" i="8"/>
  <c r="K6" i="8"/>
  <c r="F6" i="8"/>
  <c r="I6" i="8"/>
  <c r="H7" i="8"/>
  <c r="G7" i="8"/>
  <c r="I3" i="8"/>
  <c r="J7" i="8"/>
  <c r="P40" i="5"/>
  <c r="R40" i="5"/>
  <c r="Y40" i="5"/>
  <c r="AE40" i="5"/>
  <c r="F30" i="2"/>
  <c r="M40" i="5"/>
  <c r="AG40" i="5"/>
  <c r="C16" i="8"/>
  <c r="E16" i="8"/>
  <c r="M38" i="5"/>
  <c r="AG38" i="5"/>
  <c r="C47" i="8"/>
  <c r="E47" i="8"/>
  <c r="C51" i="8"/>
  <c r="D65" i="8"/>
  <c r="C65" i="8"/>
  <c r="C21" i="8"/>
  <c r="C26" i="8"/>
  <c r="C39" i="8"/>
  <c r="C4" i="8"/>
  <c r="M35" i="5"/>
  <c r="AG35" i="5"/>
  <c r="D58" i="8"/>
  <c r="C58" i="8"/>
  <c r="U40" i="2"/>
  <c r="U27" i="2"/>
  <c r="U38" i="2"/>
  <c r="U31" i="2"/>
  <c r="F10" i="2"/>
  <c r="M39" i="5"/>
  <c r="AG39" i="5"/>
  <c r="F24" i="2"/>
  <c r="AD5" i="2"/>
  <c r="D20" i="8"/>
  <c r="D68" i="8"/>
  <c r="Y36" i="5"/>
  <c r="G22" i="8"/>
  <c r="C40" i="8"/>
  <c r="F16" i="2"/>
  <c r="O38" i="5"/>
  <c r="P38" i="5"/>
  <c r="F19" i="2"/>
  <c r="G16" i="8"/>
  <c r="F15" i="2"/>
  <c r="F36" i="2"/>
  <c r="F18" i="2"/>
  <c r="F25" i="2"/>
  <c r="F22" i="2"/>
  <c r="AC39" i="5"/>
  <c r="F26" i="2"/>
  <c r="D32" i="8"/>
  <c r="Q29" i="10"/>
  <c r="F35" i="2"/>
  <c r="S37" i="5"/>
  <c r="F27" i="2"/>
  <c r="U11" i="2"/>
  <c r="U28" i="2"/>
  <c r="U25" i="2"/>
  <c r="U23" i="2"/>
  <c r="U33" i="2"/>
  <c r="U30" i="2"/>
  <c r="U29" i="2"/>
  <c r="U12" i="2"/>
  <c r="F33" i="2"/>
  <c r="F38" i="2"/>
  <c r="F32" i="2"/>
  <c r="U37" i="2"/>
  <c r="U16" i="2"/>
  <c r="F21" i="2"/>
  <c r="F11" i="2"/>
  <c r="C3" i="8"/>
  <c r="U26" i="2"/>
  <c r="F9" i="2"/>
  <c r="F17" i="2"/>
  <c r="F29" i="2"/>
  <c r="U39" i="2"/>
  <c r="F20" i="8"/>
  <c r="G21" i="8"/>
  <c r="F23" i="2"/>
  <c r="U15" i="2"/>
  <c r="U17" i="2"/>
  <c r="U13" i="2"/>
  <c r="U20" i="2"/>
  <c r="F12" i="2"/>
  <c r="F28" i="2"/>
  <c r="U24" i="2"/>
  <c r="U21" i="2"/>
  <c r="U19" i="2"/>
  <c r="F34" i="2"/>
  <c r="F39" i="2"/>
  <c r="U14" i="2"/>
  <c r="U9" i="2"/>
  <c r="U36" i="2"/>
  <c r="U22" i="2"/>
  <c r="U32" i="2"/>
  <c r="F13" i="2"/>
  <c r="F37" i="2"/>
  <c r="U5" i="2"/>
  <c r="F20" i="2"/>
  <c r="F14" i="2"/>
  <c r="F40" i="2"/>
  <c r="F31" i="2"/>
  <c r="U34" i="2"/>
  <c r="U10" i="2"/>
  <c r="U18" i="2"/>
  <c r="M37" i="5"/>
  <c r="AG37" i="5"/>
  <c r="O39" i="5"/>
  <c r="AA39" i="5"/>
  <c r="M36" i="5"/>
  <c r="AG36" i="5"/>
  <c r="M34" i="5"/>
  <c r="AG34" i="5"/>
  <c r="O37" i="5"/>
  <c r="P37" i="5"/>
  <c r="T38" i="5"/>
  <c r="AE38" i="5"/>
  <c r="Y37" i="5"/>
  <c r="R36" i="5"/>
  <c r="N41" i="5"/>
  <c r="AC36" i="5"/>
  <c r="E41" i="5"/>
  <c r="R39" i="5"/>
  <c r="Y39" i="5"/>
  <c r="O33" i="5"/>
  <c r="P33" i="5"/>
  <c r="R34" i="5"/>
  <c r="R38" i="5"/>
  <c r="S36" i="5"/>
  <c r="O34" i="5"/>
  <c r="P34" i="5"/>
  <c r="Y35" i="5"/>
  <c r="T37" i="5"/>
  <c r="U37" i="5"/>
  <c r="S34" i="5"/>
  <c r="O35" i="5"/>
  <c r="P35" i="5"/>
  <c r="AC38" i="5"/>
  <c r="T34" i="5"/>
  <c r="AE34" i="5"/>
  <c r="O36" i="5"/>
  <c r="P36" i="5"/>
  <c r="Y38" i="5"/>
  <c r="R37" i="5"/>
  <c r="S38" i="5"/>
  <c r="T36" i="5"/>
  <c r="AE36" i="5"/>
  <c r="Y33" i="5"/>
  <c r="M33" i="5"/>
  <c r="AG33" i="5"/>
  <c r="AC37" i="5"/>
  <c r="K41" i="5"/>
  <c r="S39" i="5"/>
  <c r="H41" i="5"/>
  <c r="AC33" i="5"/>
  <c r="T35" i="5"/>
  <c r="U35" i="5"/>
  <c r="Q35" i="5"/>
  <c r="R35" i="5"/>
  <c r="L41" i="5"/>
  <c r="J41" i="5"/>
  <c r="AC34" i="5"/>
  <c r="Q33" i="5"/>
  <c r="R33" i="5"/>
  <c r="T39" i="5"/>
  <c r="AE39" i="5"/>
  <c r="AC35" i="5"/>
  <c r="G41" i="5"/>
  <c r="D41" i="5"/>
  <c r="D29" i="8"/>
  <c r="I29" i="10"/>
  <c r="S35" i="5"/>
  <c r="T33" i="5"/>
  <c r="I41" i="5"/>
  <c r="Q36" i="5"/>
  <c r="S33" i="5"/>
  <c r="Y34" i="5"/>
  <c r="Q34" i="5"/>
  <c r="F41" i="5"/>
  <c r="D17" i="8"/>
  <c r="D24" i="8"/>
  <c r="G29" i="10"/>
  <c r="D31" i="8"/>
  <c r="F4" i="8"/>
  <c r="I4" i="8"/>
  <c r="C19" i="8"/>
  <c r="F32" i="8"/>
  <c r="F29" i="8"/>
  <c r="F17" i="8"/>
  <c r="F31" i="8"/>
  <c r="K4" i="8"/>
  <c r="J5" i="8"/>
  <c r="C11" i="8"/>
  <c r="H6" i="8"/>
  <c r="G6" i="8"/>
  <c r="H4" i="8"/>
  <c r="G4" i="8"/>
  <c r="C22" i="8"/>
  <c r="D62" i="8"/>
  <c r="C62" i="8"/>
  <c r="E62" i="8"/>
  <c r="C24" i="8"/>
  <c r="G30" i="10"/>
  <c r="C5" i="8"/>
  <c r="C6" i="8"/>
  <c r="D49" i="8"/>
  <c r="D50" i="8"/>
  <c r="C50" i="8"/>
  <c r="E50" i="8"/>
  <c r="D48" i="8"/>
  <c r="C48" i="8"/>
  <c r="E48" i="8"/>
  <c r="C29" i="8"/>
  <c r="E29" i="8"/>
  <c r="C61" i="8"/>
  <c r="E61" i="8"/>
  <c r="D55" i="8"/>
  <c r="C55" i="8"/>
  <c r="E55" i="8"/>
  <c r="E21" i="8"/>
  <c r="D56" i="8"/>
  <c r="C56" i="8"/>
  <c r="E56" i="8"/>
  <c r="C31" i="8"/>
  <c r="M30" i="10"/>
  <c r="D72" i="8"/>
  <c r="C72" i="8"/>
  <c r="C54" i="8"/>
  <c r="E54" i="8"/>
  <c r="C41" i="8"/>
  <c r="C42" i="8"/>
  <c r="AA38" i="5"/>
  <c r="G20" i="8"/>
  <c r="P39" i="5"/>
  <c r="D30" i="8"/>
  <c r="U38" i="5"/>
  <c r="AA37" i="5"/>
  <c r="AA35" i="5"/>
  <c r="AE35" i="5"/>
  <c r="AA36" i="5"/>
  <c r="AE37" i="5"/>
  <c r="AA33" i="5"/>
  <c r="AA34" i="5"/>
  <c r="U34" i="5"/>
  <c r="U36" i="5"/>
  <c r="M29" i="10"/>
  <c r="U29" i="10"/>
  <c r="U39" i="5"/>
  <c r="D19" i="8"/>
  <c r="D26" i="8"/>
  <c r="E26" i="8"/>
  <c r="K31" i="10"/>
  <c r="D27" i="8"/>
  <c r="O29" i="10"/>
  <c r="AE33" i="5"/>
  <c r="U33" i="5"/>
  <c r="H5" i="8"/>
  <c r="G5" i="8"/>
  <c r="F30" i="8"/>
  <c r="M32" i="10"/>
  <c r="G31" i="8"/>
  <c r="K30" i="10"/>
  <c r="F27" i="8"/>
  <c r="F24" i="8"/>
  <c r="F19" i="8"/>
  <c r="C8" i="8"/>
  <c r="F26" i="8"/>
  <c r="I32" i="10"/>
  <c r="G29" i="8"/>
  <c r="Q32" i="10"/>
  <c r="G32" i="8"/>
  <c r="C27" i="8"/>
  <c r="O30" i="10"/>
  <c r="S30" i="10"/>
  <c r="C20" i="8"/>
  <c r="D70" i="8"/>
  <c r="C70" i="8"/>
  <c r="E70" i="8"/>
  <c r="D9" i="2"/>
  <c r="D17" i="2"/>
  <c r="D25" i="2"/>
  <c r="D33" i="2"/>
  <c r="D11" i="2"/>
  <c r="D19" i="2"/>
  <c r="D27" i="2"/>
  <c r="D35" i="2"/>
  <c r="D12" i="2"/>
  <c r="D28" i="2"/>
  <c r="D36" i="2"/>
  <c r="D13" i="2"/>
  <c r="D29" i="2"/>
  <c r="D22" i="2"/>
  <c r="D38" i="2"/>
  <c r="D23" i="2"/>
  <c r="D39" i="2"/>
  <c r="D24" i="2"/>
  <c r="D40" i="2"/>
  <c r="D10" i="2"/>
  <c r="D18" i="2"/>
  <c r="D26" i="2"/>
  <c r="D34" i="2"/>
  <c r="D20" i="2"/>
  <c r="D21" i="2"/>
  <c r="D37" i="2"/>
  <c r="D14" i="2"/>
  <c r="D30" i="2"/>
  <c r="D15" i="2"/>
  <c r="D31" i="2"/>
  <c r="D16" i="2"/>
  <c r="D32" i="2"/>
  <c r="C49" i="8"/>
  <c r="E49" i="8"/>
  <c r="C32" i="8"/>
  <c r="Q30" i="10"/>
  <c r="U30" i="10"/>
  <c r="D63" i="8"/>
  <c r="C63" i="8"/>
  <c r="E63" i="8"/>
  <c r="E24" i="8"/>
  <c r="G31" i="10"/>
  <c r="E22" i="8"/>
  <c r="I30" i="10"/>
  <c r="D57" i="8"/>
  <c r="C57" i="8"/>
  <c r="E57" i="8"/>
  <c r="E31" i="8"/>
  <c r="C68" i="8"/>
  <c r="E68" i="8"/>
  <c r="G30" i="8"/>
  <c r="K29" i="10"/>
  <c r="S29" i="10"/>
  <c r="D25" i="8"/>
  <c r="H8" i="8"/>
  <c r="U32" i="10"/>
  <c r="K32" i="10"/>
  <c r="F25" i="8"/>
  <c r="G26" i="8"/>
  <c r="K33" i="10"/>
  <c r="G24" i="8"/>
  <c r="G33" i="10"/>
  <c r="G32" i="10"/>
  <c r="C36" i="8"/>
  <c r="C35" i="8"/>
  <c r="G27" i="8"/>
  <c r="O33" i="10"/>
  <c r="O32" i="10"/>
  <c r="C25" i="8"/>
  <c r="E25" i="8"/>
  <c r="S31" i="10"/>
  <c r="D71" i="8"/>
  <c r="C71" i="8"/>
  <c r="E71" i="8"/>
  <c r="D69" i="8"/>
  <c r="C69" i="8"/>
  <c r="E69" i="8"/>
  <c r="E20" i="8"/>
  <c r="E27" i="8"/>
  <c r="O31" i="10"/>
  <c r="C23" i="2"/>
  <c r="C35" i="2"/>
  <c r="C20" i="2"/>
  <c r="C34" i="2"/>
  <c r="C29" i="2"/>
  <c r="C30" i="2"/>
  <c r="C31" i="2"/>
  <c r="C26" i="2"/>
  <c r="C22" i="2"/>
  <c r="C19" i="2"/>
  <c r="C15" i="2"/>
  <c r="C11" i="2"/>
  <c r="C10" i="2"/>
  <c r="C13" i="2"/>
  <c r="C33" i="2"/>
  <c r="C40" i="2"/>
  <c r="C37" i="2"/>
  <c r="C28" i="2"/>
  <c r="C17" i="2"/>
  <c r="C32" i="2"/>
  <c r="C16" i="2"/>
  <c r="C38" i="2"/>
  <c r="C27" i="2"/>
  <c r="C18" i="2"/>
  <c r="C14" i="2"/>
  <c r="C36" i="2"/>
  <c r="C25" i="2"/>
  <c r="C24" i="2"/>
  <c r="C21" i="2"/>
  <c r="C39" i="2"/>
  <c r="C12" i="2"/>
  <c r="C9" i="2"/>
  <c r="E28" i="2"/>
  <c r="E22" i="2"/>
  <c r="E9" i="2"/>
  <c r="E14" i="2"/>
  <c r="E13" i="2"/>
  <c r="E35" i="2"/>
  <c r="E12" i="2"/>
  <c r="E38" i="2"/>
  <c r="E37" i="2"/>
  <c r="E27" i="2"/>
  <c r="E40" i="2"/>
  <c r="E16" i="2"/>
  <c r="E26" i="2"/>
  <c r="E11" i="2"/>
  <c r="E32" i="2"/>
  <c r="E30" i="2"/>
  <c r="E21" i="2"/>
  <c r="E19" i="2"/>
  <c r="E33" i="2"/>
  <c r="E17" i="2"/>
  <c r="E20" i="2"/>
  <c r="E15" i="2"/>
  <c r="E31" i="2"/>
  <c r="E24" i="2"/>
  <c r="E10" i="2"/>
  <c r="E39" i="2"/>
  <c r="E36" i="2"/>
  <c r="E23" i="2"/>
  <c r="E34" i="2"/>
  <c r="E25" i="2"/>
  <c r="E29" i="2"/>
  <c r="E18" i="2"/>
  <c r="C30" i="8"/>
  <c r="E30" i="8"/>
  <c r="E32" i="8"/>
  <c r="D64" i="8"/>
  <c r="C64" i="8"/>
  <c r="E64" i="8"/>
  <c r="S32" i="10"/>
  <c r="G25" i="8"/>
  <c r="S33" i="10"/>
  <c r="S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<sst xmlns="http://schemas.openxmlformats.org/spreadsheetml/2006/main" count="627" uniqueCount="217">
  <si>
    <t>Candidate Name:</t>
  </si>
  <si>
    <t>Date of Exam:</t>
  </si>
  <si>
    <t>Date of Beginning Preparation:</t>
  </si>
  <si>
    <t>Subject</t>
  </si>
  <si>
    <t>Reading</t>
  </si>
  <si>
    <t>Topic</t>
  </si>
  <si>
    <t>U</t>
  </si>
  <si>
    <t>Total</t>
  </si>
  <si>
    <t>Performance Review</t>
  </si>
  <si>
    <t>Ethics</t>
  </si>
  <si>
    <t>Economics</t>
  </si>
  <si>
    <t>Equity</t>
  </si>
  <si>
    <t>Fixed Income</t>
  </si>
  <si>
    <t>Total Chapters</t>
  </si>
  <si>
    <t>Order of Study</t>
  </si>
  <si>
    <t>Done</t>
  </si>
  <si>
    <t>Undone</t>
  </si>
  <si>
    <t>Syllubus(D)</t>
  </si>
  <si>
    <t>Syllubus(T)</t>
  </si>
  <si>
    <t>Practice(D)</t>
  </si>
  <si>
    <t>Practice(T)</t>
  </si>
  <si>
    <t>Practice</t>
  </si>
  <si>
    <t>Done (P)</t>
  </si>
  <si>
    <t>Undone(P)</t>
  </si>
  <si>
    <t>Undone(S)</t>
  </si>
  <si>
    <t>Lectures</t>
  </si>
  <si>
    <t>Self Study</t>
  </si>
  <si>
    <t>Institute EOC Questions</t>
  </si>
  <si>
    <t>Revision</t>
  </si>
  <si>
    <t>Institute Online Portal</t>
  </si>
  <si>
    <t>Practice Book</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</si>
  <si>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</si>
  <si>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</si>
  <si>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</si>
  <si>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</si>
  <si>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</si>
  <si>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</si>
  <si>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</si>
  <si>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</si>
  <si>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</si>
  <si>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</si>
  <si>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</si>
  <si>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</si>
  <si>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</si>
  <si>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</si>
  <si>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</si>
  <si>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</si>
  <si>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</si>
  <si>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</si>
  <si>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</si>
  <si>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</si>
  <si>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</si>
  <si>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</si>
  <si>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</si>
  <si>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</si>
  <si>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</si>
  <si>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</si>
  <si>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</si>
  <si>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</si>
  <si>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</si>
  <si>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Schweser Practice Book 1</t>
  </si>
  <si>
    <t>Schweser Practice Book 2</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</si>
  <si>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</si>
  <si>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</si>
  <si>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</si>
  <si>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</si>
  <si>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</si>
  <si>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</si>
  <si>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</si>
  <si>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</si>
  <si>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</si>
  <si>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</si>
  <si>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</si>
  <si>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</si>
  <si>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</si>
  <si>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</si>
  <si>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</si>
  <si>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</si>
  <si>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</si>
  <si>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</si>
  <si>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</si>
  <si>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</si>
  <si>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</si>
  <si>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</si>
  <si>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</si>
  <si>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</si>
  <si>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</si>
  <si>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</si>
  <si>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</si>
  <si>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you a rough approximation of the </t>
    </r>
    <r>
      <rPr>
        <b/>
        <sz val="11"/>
        <color theme="1"/>
        <rFont val="Tw Cen MT"/>
        <family val="2"/>
      </rPr>
      <t>‘%’ of lectures completed</t>
    </r>
    <r>
      <rPr>
        <sz val="11"/>
        <color theme="1"/>
        <rFont val="Tw Cen MT"/>
        <family val="2"/>
      </rPr>
      <t xml:space="preserve">, and hence an idea of the proportion of syllabus completed. </t>
    </r>
  </si>
  <si>
    <r>
      <t>The Most important part of your preparation. You</t>
    </r>
    <r>
      <rPr>
        <b/>
        <sz val="11"/>
        <color theme="1"/>
        <rFont val="Tw Cen MT"/>
        <family val="2"/>
      </rPr>
      <t xml:space="preserve"> must 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</si>
  <si>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t>Syllabus</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</si>
  <si>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t>
    </r>
  </si>
  <si>
    <r>
      <t>It just gives an indication of whether the chapter is lengthy on a scale of '1' to '5', '</t>
    </r>
    <r>
      <rPr>
        <b/>
        <sz val="11"/>
        <color theme="1"/>
        <rFont val="Tw Cen MT"/>
        <family val="2"/>
      </rPr>
      <t>3' being an average chapter length.</t>
    </r>
  </si>
  <si>
    <t>Notes to Yourself</t>
  </si>
  <si>
    <t>Average</t>
  </si>
  <si>
    <t>On a scale of 1(None) to 5(completely) have highlighted if the reading has a lot of numerical, formulas, ratios, calculations, etc. This is just to give you an idea to have the right expectations before you begin the chapter.</t>
  </si>
  <si>
    <t>Lengthy</t>
  </si>
  <si>
    <t>Numerical or Not</t>
  </si>
  <si>
    <t>Diff. Level</t>
  </si>
  <si>
    <t>Imp. Level</t>
  </si>
  <si>
    <t>Reqd. Prac.</t>
  </si>
  <si>
    <t>Cum. (%)</t>
  </si>
  <si>
    <t>Prac. Book</t>
  </si>
  <si>
    <t>Inst. Online Portal</t>
  </si>
  <si>
    <t>Inst. EOC Ques.</t>
  </si>
  <si>
    <t>Schweser Prac. Bk 1</t>
  </si>
  <si>
    <t>Schweser Prac. Bk 2</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</si>
  <si>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</si>
  <si>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</si>
  <si>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</si>
  <si>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</si>
  <si>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</si>
  <si>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</si>
  <si>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</si>
  <si>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</si>
  <si>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</si>
  <si>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</si>
  <si>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</si>
  <si>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</si>
  <si>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</si>
  <si>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</si>
  <si>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</si>
  <si>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</si>
  <si>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</si>
  <si>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</si>
  <si>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</si>
  <si>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</si>
  <si>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</si>
  <si>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</si>
  <si>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</si>
  <si>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</si>
  <si>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</si>
  <si>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</si>
  <si>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</si>
  <si>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</si>
  <si>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</si>
  <si>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</si>
  <si>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</si>
  <si>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</si>
  <si>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</si>
  <si>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</si>
  <si>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</si>
  <si>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</si>
  <si>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</si>
  <si>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</si>
  <si>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</si>
  <si>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</si>
  <si>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</si>
  <si>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</si>
  <si>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</si>
  <si>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</si>
  <si>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</si>
  <si>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</si>
  <si>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</si>
  <si>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</si>
  <si>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</si>
  <si>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</si>
  <si>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</si>
  <si>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</si>
  <si>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</si>
  <si>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</si>
  <si>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</si>
  <si>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</si>
  <si>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</si>
  <si>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t>
  </si>
  <si>
    <t>The schedule is automatically updated with every passing day, telling you what you need to complete in the current week and the following weeks until your revision day starts based on you study hours.</t>
  </si>
  <si>
    <t>CFA L-3</t>
  </si>
  <si>
    <t>The practice book provided has questions on a subject wise basis. Of course, you have to practice the same. This needs to be done on a subject wise basis while competing your curriculum. Also, please understand that there are a smaller number of mock papers relevant due to major changes in the curriculum in 2018 and 19. Do time yourself and keep checking how much time are you taking per item set and if there is improvement over time. Time management is important in item sets.</t>
  </si>
  <si>
    <t>Prioritize institute resources to practice. Focus on revision and concepts and retention. The standard for these practice books is decent in L3. Make sure you practice all the essay type questions. You may write and practice or type and practice, either way, but do time yourself. My suggestion would be that you practice the item sets as well.</t>
  </si>
  <si>
    <t xml:space="preserve">Derivatives </t>
  </si>
  <si>
    <t>Swaps, Forwards, and Futures Strategies</t>
  </si>
  <si>
    <t>Overview of Asset Allocation</t>
  </si>
  <si>
    <t>Principles of Asset Allocation</t>
  </si>
  <si>
    <t>Asset Allocation with Real-World Constraints</t>
  </si>
  <si>
    <t>Overview of Fixed-Income Portfolio Management</t>
  </si>
  <si>
    <t>Yield Curve Strategies</t>
  </si>
  <si>
    <t>Overview of Private Wealth Management</t>
  </si>
  <si>
    <t>Risk Management for Individuals</t>
  </si>
  <si>
    <t>Asset Manager Code of Professional Conduct</t>
  </si>
  <si>
    <t>Portfolio Management for Institutional Investors</t>
  </si>
  <si>
    <t>Overview of Equity Portfolio Management</t>
  </si>
  <si>
    <t>Passive Equity Investing</t>
  </si>
  <si>
    <t>Alt. Invest.</t>
  </si>
  <si>
    <t>Hedge Fund Strategies</t>
  </si>
  <si>
    <t>Asset Allocation to Alternative Investments</t>
  </si>
  <si>
    <t>Portfolio Performance Evaluation</t>
  </si>
  <si>
    <t>Investment Manager Selection</t>
  </si>
  <si>
    <t>Overview of the Global Investment Performance Standards</t>
  </si>
  <si>
    <t>Options Strategies</t>
  </si>
  <si>
    <t>Topics in Private Wealth Management</t>
  </si>
  <si>
    <t>Trade Strategy and Execution</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</si>
  <si>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</si>
  <si>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</si>
  <si>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r>
      <t xml:space="preserve">Details on 'what' and 'how much' to practice has been provided in details already. This is just to give an indication on a chapter-wise basis, concerning the required practice, given how much the student is prone to error, or if there are a lot of confusing or difficult questions being tested from that chapter.
</t>
    </r>
    <r>
      <rPr>
        <b/>
        <sz val="11"/>
        <color theme="1"/>
        <rFont val="Tw Cen MT"/>
        <family val="2"/>
      </rPr>
      <t>1</t>
    </r>
    <r>
      <rPr>
        <sz val="11"/>
        <color theme="1"/>
        <rFont val="Tw Cen MT"/>
        <family val="2"/>
      </rPr>
      <t xml:space="preserve"> - Only If you have a shortage of time, you may skip the practice altogether, else do the Institute Material EOC at least.
</t>
    </r>
    <r>
      <rPr>
        <b/>
        <sz val="11"/>
        <color theme="1"/>
        <rFont val="Tw Cen MT"/>
        <family val="2"/>
      </rPr>
      <t>2</t>
    </r>
    <r>
      <rPr>
        <sz val="11"/>
        <color theme="1"/>
        <rFont val="Tw Cen MT"/>
        <family val="2"/>
      </rPr>
      <t xml:space="preserve"> - If you are short of time, do the Institute Material EOC at least, try Schweser EOC.
</t>
    </r>
    <r>
      <rPr>
        <b/>
        <sz val="11"/>
        <color theme="1"/>
        <rFont val="Tw Cen MT"/>
        <family val="2"/>
      </rPr>
      <t>3</t>
    </r>
    <r>
      <rPr>
        <sz val="11"/>
        <color theme="1"/>
        <rFont val="Tw Cen MT"/>
        <family val="2"/>
      </rPr>
      <t xml:space="preserve"> - Do the Institute Material EOC, (Also, Schweser EOC) for sure, try completing the practice questions provided for the corresponding subjects as well.
</t>
    </r>
    <r>
      <rPr>
        <b/>
        <sz val="11"/>
        <color theme="1"/>
        <rFont val="Tw Cen MT"/>
        <family val="2"/>
      </rPr>
      <t>4</t>
    </r>
    <r>
      <rPr>
        <sz val="11"/>
        <color theme="1"/>
        <rFont val="Tw Cen MT"/>
        <family val="2"/>
      </rPr>
      <t xml:space="preserve"> - Do the Institute Material EOC and Schweser EOC, also the practice provided for the corresponding subjects, try managing the Online Practice by the Institute too.
</t>
    </r>
    <r>
      <rPr>
        <b/>
        <sz val="11"/>
        <color theme="1"/>
        <rFont val="Tw Cen MT"/>
        <family val="2"/>
      </rPr>
      <t>5</t>
    </r>
    <r>
      <rPr>
        <sz val="11"/>
        <color theme="1"/>
        <rFont val="Tw Cen MT"/>
        <family val="2"/>
      </rPr>
      <t xml:space="preserve"> - Make sure you complete the Institute Material EOC and Schweser EOC, practice questions given for the corresponding subject, and Online practice by the Institute, try to cover Practice Books by Schweser as well.
For all the above points, you must practice both Schweser Practice books Essay-type questions for all subjects mandatorily. The above classification is for MCQ and Item Sets only.</t>
    </r>
  </si>
  <si>
    <t>This is the first priority for practice. Complete this immediately after completing the chapter. Do not delay the same. Please make sure to watch the ‘How to Study and Practice’ Lecture to know exactly how to go about practice. There could be some Non-MCQ questions also, still try solving them. If you want to do questions from Learning Ecosystem it is fine, but most the questions in LES will be from EOC only, so if you are stuck in any question in LES please refer the EOC questions or practice book for the solution.</t>
  </si>
  <si>
    <r>
      <t xml:space="preserve">This is </t>
    </r>
    <r>
      <rPr>
        <b/>
        <sz val="11"/>
        <color theme="1"/>
        <rFont val="Tw Cen MT"/>
        <family val="2"/>
      </rPr>
      <t>advisable to be done along with revision.</t>
    </r>
    <r>
      <rPr>
        <sz val="11"/>
        <color theme="1"/>
        <rFont val="Tw Cen MT"/>
        <family val="2"/>
      </rPr>
      <t xml:space="preserve"> You build online reading speed as well. The level of Questions is very good. These are Item sets only, but regardless needs to be completed. Do time yourself and keep checking how much time are you taking per item set and if there is improvement over time. Time management is important in item sets.</t>
    </r>
  </si>
  <si>
    <t>Portfolio-1</t>
  </si>
  <si>
    <t>Portfolio-2</t>
  </si>
  <si>
    <t>Capital Market Expectations, Part 1-Framework and Macro Considerations</t>
  </si>
  <si>
    <t>Capital Market Expectations, Part 2-Forecasting Asset Class Returns</t>
  </si>
  <si>
    <t>Currency Management-An Introduction</t>
  </si>
  <si>
    <t>Active Equity Investing-Strategies</t>
  </si>
  <si>
    <t>Active Equity Investing-Portfolio Construction</t>
  </si>
  <si>
    <t>Application of the Code and Standards-Level III</t>
  </si>
  <si>
    <t>Liability-Driven and Index-Based Strategies</t>
  </si>
  <si>
    <t>Fixed-Income Active Management-Credit Strategies</t>
  </si>
  <si>
    <t>Case Study in Portfolio Management-Institutional</t>
  </si>
  <si>
    <t>Case Study in Risk Management-Private Wealth</t>
  </si>
  <si>
    <t>Case Study in Risk Management-Institutional</t>
  </si>
  <si>
    <t>29
30</t>
  </si>
  <si>
    <t>Code of Ethics and Standards of Professional Conduct
Guidance for Standards I–VII</t>
  </si>
  <si>
    <t>Cum. Undone hrs</t>
  </si>
  <si>
    <t>Undone hrs</t>
  </si>
  <si>
    <t>2+2</t>
  </si>
  <si>
    <t>Sum of No. of Chapters</t>
  </si>
  <si>
    <t>Your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</si>
</sst>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 numFmtId="175" formatCode="d/m/yyyy"/>
  </numFmts>
  <fonts count="78" x14ac:knownFonts="1">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
      <sz val="12"/>
      <color rgb="FFFFEBDD"/>
      <name val="Tw Cen MT"/>
      <family val="2"/>
    </font>
    <font>
      <sz val="10"/>
      <color theme="2" tint="-0.499984740745262"/>
      <name val="Tw Cen MT"/>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7">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39" fillId="0" borderId="0" applyNumberFormat="0" applyFill="0" applyBorder="0" applyAlignment="0" applyProtection="0"/>
    <xf numFmtId="0" fontId="75" fillId="0" borderId="0"/>
    <xf numFmtId="0" fontId="1" fillId="0" borderId="0"/>
  </cellStyleXfs>
  <cellXfs count="313">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7" fillId="0" borderId="2" xfId="0" applyNumberFormat="1" applyFont="1" applyBorder="1" applyAlignment="1">
      <alignment horizontal="center" vertical="center" wrapText="1"/>
    </xf>
    <xf numFmtId="0" fontId="29"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5"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1"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3" fillId="16" borderId="0" xfId="0" applyFont="1" applyFill="1"/>
    <xf numFmtId="164" fontId="43" fillId="16" borderId="0" xfId="0" applyNumberFormat="1" applyFont="1" applyFill="1"/>
    <xf numFmtId="0" fontId="44" fillId="16" borderId="0" xfId="0" applyFont="1" applyFill="1"/>
    <xf numFmtId="0" fontId="45"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6"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4" fillId="4" borderId="2" xfId="0" applyNumberFormat="1" applyFont="1" applyFill="1" applyBorder="1" applyAlignment="1">
      <alignment horizontal="center" vertical="center" wrapText="1"/>
    </xf>
    <xf numFmtId="9" fontId="24" fillId="4" borderId="2" xfId="0" applyNumberFormat="1" applyFont="1" applyFill="1" applyBorder="1" applyAlignment="1">
      <alignment horizontal="center" vertical="center" wrapText="1"/>
    </xf>
    <xf numFmtId="3" fontId="24" fillId="4"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171" fontId="47" fillId="3" borderId="0" xfId="0" applyNumberFormat="1" applyFont="1" applyFill="1" applyAlignment="1" applyProtection="1">
      <alignment horizontal="center" vertical="center" wrapText="1"/>
      <protection locked="0"/>
    </xf>
    <xf numFmtId="166" fontId="47"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2" fillId="16" borderId="0" xfId="0" applyFont="1" applyFill="1" applyAlignment="1">
      <alignment horizontal="center" vertical="center"/>
    </xf>
    <xf numFmtId="0" fontId="40" fillId="16" borderId="0" xfId="0" applyFont="1" applyFill="1" applyAlignment="1">
      <alignment vertical="center" wrapText="1"/>
    </xf>
    <xf numFmtId="0" fontId="23" fillId="16" borderId="0" xfId="0" applyFont="1" applyFill="1" applyAlignment="1">
      <alignment vertical="center" wrapText="1"/>
    </xf>
    <xf numFmtId="0" fontId="28"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6" fillId="16" borderId="0" xfId="0" applyFont="1" applyFill="1" applyAlignment="1">
      <alignment vertical="center"/>
    </xf>
    <xf numFmtId="0" fontId="6" fillId="16" borderId="0" xfId="0" applyFont="1" applyFill="1" applyAlignment="1">
      <alignment vertical="center"/>
    </xf>
    <xf numFmtId="0" fontId="26" fillId="16" borderId="4" xfId="0" applyFont="1" applyFill="1" applyBorder="1" applyAlignment="1">
      <alignment vertical="center"/>
    </xf>
    <xf numFmtId="0" fontId="37" fillId="16" borderId="0" xfId="0" applyFont="1" applyFill="1" applyAlignment="1">
      <alignment horizontal="right" wrapText="1"/>
    </xf>
    <xf numFmtId="172" fontId="37" fillId="16" borderId="0" xfId="0" applyNumberFormat="1" applyFont="1" applyFill="1" applyAlignment="1">
      <alignment horizontal="center" wrapText="1"/>
    </xf>
    <xf numFmtId="169" fontId="37" fillId="16" borderId="0" xfId="0" applyNumberFormat="1" applyFont="1" applyFill="1" applyAlignment="1">
      <alignment horizontal="center" wrapText="1"/>
    </xf>
    <xf numFmtId="4" fontId="3" fillId="16" borderId="0" xfId="0" applyNumberFormat="1" applyFont="1" applyFill="1"/>
    <xf numFmtId="0" fontId="58" fillId="10" borderId="8" xfId="0" applyFont="1" applyFill="1" applyBorder="1" applyAlignment="1">
      <alignment vertical="center"/>
    </xf>
    <xf numFmtId="0" fontId="59" fillId="3" borderId="8" xfId="0" applyFont="1" applyFill="1" applyBorder="1" applyAlignment="1" applyProtection="1">
      <alignment horizontal="left" vertical="center" indent="2"/>
      <protection locked="0"/>
    </xf>
    <xf numFmtId="0" fontId="6" fillId="21" borderId="0" xfId="0" applyFont="1" applyFill="1" applyAlignment="1">
      <alignment vertical="center"/>
    </xf>
    <xf numFmtId="0" fontId="23" fillId="21" borderId="0" xfId="0" applyFont="1" applyFill="1" applyAlignment="1">
      <alignment vertical="center" wrapText="1"/>
    </xf>
    <xf numFmtId="0" fontId="23" fillId="21" borderId="0" xfId="0" applyFont="1" applyFill="1" applyAlignment="1">
      <alignment horizontal="right"/>
    </xf>
    <xf numFmtId="0" fontId="4" fillId="10" borderId="2" xfId="0" applyFont="1" applyFill="1" applyBorder="1" applyAlignment="1">
      <alignment horizontal="center" vertical="center" wrapText="1"/>
    </xf>
    <xf numFmtId="0" fontId="23" fillId="21" borderId="0" xfId="0" applyFont="1" applyFill="1" applyAlignment="1">
      <alignment vertical="center"/>
    </xf>
    <xf numFmtId="0" fontId="22" fillId="21" borderId="0" xfId="0" applyFont="1" applyFill="1"/>
    <xf numFmtId="9" fontId="12" fillId="0" borderId="0" xfId="0" applyNumberFormat="1" applyFont="1" applyAlignment="1">
      <alignment horizontal="center" vertical="center" wrapText="1"/>
    </xf>
    <xf numFmtId="9" fontId="43"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3"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2" xfId="0" applyFont="1" applyBorder="1"/>
    <xf numFmtId="4" fontId="3" fillId="0" borderId="2" xfId="0" applyNumberFormat="1" applyFont="1" applyBorder="1" applyAlignment="1">
      <alignment horizontal="center"/>
    </xf>
    <xf numFmtId="3" fontId="27"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4"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7" fillId="22" borderId="2" xfId="0" applyFont="1" applyFill="1" applyBorder="1" applyAlignment="1">
      <alignment horizontal="left" vertical="center" indent="1"/>
    </xf>
    <xf numFmtId="0" fontId="27"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7" fillId="0" borderId="2" xfId="0" applyNumberFormat="1" applyFont="1" applyBorder="1" applyAlignment="1">
      <alignment horizontal="center" vertical="center" wrapText="1"/>
    </xf>
    <xf numFmtId="4" fontId="27" fillId="0" borderId="0" xfId="0" applyNumberFormat="1" applyFont="1" applyAlignment="1">
      <alignment vertical="center"/>
    </xf>
    <xf numFmtId="4" fontId="15" fillId="0" borderId="0" xfId="0" applyNumberFormat="1" applyFont="1" applyAlignment="1">
      <alignment vertical="center"/>
    </xf>
    <xf numFmtId="0" fontId="35" fillId="0" borderId="0" xfId="0" applyFont="1"/>
    <xf numFmtId="4" fontId="15" fillId="0" borderId="0" xfId="0" applyNumberFormat="1" applyFont="1" applyAlignment="1">
      <alignment horizontal="left" vertical="center" indent="1"/>
    </xf>
    <xf numFmtId="169" fontId="27"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5" fillId="0" borderId="0" xfId="0" applyNumberFormat="1" applyFont="1" applyAlignment="1">
      <alignment horizontal="center" vertical="center" wrapText="1"/>
    </xf>
    <xf numFmtId="165" fontId="35" fillId="0" borderId="2" xfId="0" applyNumberFormat="1" applyFont="1" applyBorder="1" applyAlignment="1">
      <alignment horizontal="center" vertical="center" wrapText="1"/>
    </xf>
    <xf numFmtId="14" fontId="3" fillId="16" borderId="0" xfId="0" applyNumberFormat="1" applyFont="1" applyFill="1"/>
    <xf numFmtId="173" fontId="69" fillId="16" borderId="0" xfId="0" applyNumberFormat="1" applyFont="1" applyFill="1"/>
    <xf numFmtId="0" fontId="7" fillId="16" borderId="0" xfId="2" applyFont="1" applyFill="1"/>
    <xf numFmtId="0" fontId="3" fillId="24" borderId="12"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3" xfId="0" applyFont="1" applyFill="1" applyBorder="1" applyAlignment="1">
      <alignment horizontal="center" vertical="center" wrapText="1"/>
    </xf>
    <xf numFmtId="0" fontId="3" fillId="24" borderId="0" xfId="0" applyFont="1" applyFill="1" applyAlignment="1">
      <alignment horizontal="center" vertical="center" wrapText="1"/>
    </xf>
    <xf numFmtId="0" fontId="55" fillId="16" borderId="0" xfId="4" applyFont="1" applyFill="1" applyAlignment="1" applyProtection="1">
      <alignment horizontal="left" vertical="center"/>
    </xf>
    <xf numFmtId="0" fontId="56" fillId="16" borderId="0" xfId="0" applyFont="1" applyFill="1"/>
    <xf numFmtId="0" fontId="71"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0" fontId="58" fillId="7" borderId="9" xfId="0" applyFont="1" applyFill="1" applyBorder="1" applyAlignment="1">
      <alignment horizontal="center" vertical="center" wrapText="1"/>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6" fillId="3" borderId="3" xfId="0"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19" fillId="0" borderId="20" xfId="0" applyFont="1" applyBorder="1"/>
    <xf numFmtId="165" fontId="3" fillId="0" borderId="20" xfId="0" applyNumberFormat="1" applyFont="1" applyBorder="1" applyAlignment="1">
      <alignment horizontal="center" vertical="center" wrapText="1"/>
    </xf>
    <xf numFmtId="165" fontId="10" fillId="0" borderId="20" xfId="0" applyNumberFormat="1" applyFont="1" applyBorder="1" applyAlignment="1">
      <alignment horizontal="center" vertical="center" wrapText="1"/>
    </xf>
    <xf numFmtId="164" fontId="3" fillId="0" borderId="20" xfId="0" applyNumberFormat="1" applyFont="1" applyBorder="1" applyAlignment="1">
      <alignment horizontal="center"/>
    </xf>
    <xf numFmtId="173" fontId="3" fillId="0" borderId="20" xfId="0" applyNumberFormat="1" applyFont="1" applyBorder="1" applyAlignment="1">
      <alignment horizontal="center"/>
    </xf>
    <xf numFmtId="164" fontId="10" fillId="0" borderId="20" xfId="0" applyNumberFormat="1" applyFont="1" applyBorder="1" applyAlignment="1">
      <alignment horizontal="center"/>
    </xf>
    <xf numFmtId="0" fontId="18" fillId="12" borderId="20" xfId="0" applyFont="1" applyFill="1" applyBorder="1"/>
    <xf numFmtId="165" fontId="21" fillId="12" borderId="20" xfId="0" applyNumberFormat="1" applyFont="1" applyFill="1" applyBorder="1" applyAlignment="1">
      <alignment horizontal="center" vertical="center" wrapText="1"/>
    </xf>
    <xf numFmtId="164" fontId="18" fillId="12" borderId="20" xfId="0" applyNumberFormat="1" applyFont="1" applyFill="1" applyBorder="1" applyAlignment="1">
      <alignment horizontal="center"/>
    </xf>
    <xf numFmtId="173" fontId="18" fillId="12" borderId="20"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0" fontId="6" fillId="21" borderId="0" xfId="0" applyFont="1" applyFill="1" applyAlignment="1">
      <alignment vertical="center" wrapText="1"/>
    </xf>
    <xf numFmtId="0" fontId="26" fillId="16" borderId="0" xfId="0" applyFont="1" applyFill="1" applyAlignment="1">
      <alignment vertical="center" wrapText="1"/>
    </xf>
    <xf numFmtId="0" fontId="26" fillId="16" borderId="4" xfId="0" applyFont="1" applyFill="1" applyBorder="1" applyAlignment="1">
      <alignment vertical="center" wrapText="1"/>
    </xf>
    <xf numFmtId="3" fontId="41" fillId="0" borderId="2" xfId="0" applyNumberFormat="1" applyFont="1" applyBorder="1" applyAlignment="1">
      <alignment horizontal="center" vertical="center" wrapText="1"/>
    </xf>
    <xf numFmtId="0" fontId="11" fillId="16" borderId="44" xfId="0" applyFont="1" applyFill="1" applyBorder="1"/>
    <xf numFmtId="0" fontId="61" fillId="22" borderId="39" xfId="0" applyFont="1" applyFill="1" applyBorder="1" applyAlignment="1">
      <alignment vertical="center"/>
    </xf>
    <xf numFmtId="0" fontId="61" fillId="22" borderId="4" xfId="0" applyFont="1" applyFill="1" applyBorder="1" applyAlignment="1">
      <alignment vertical="center"/>
    </xf>
    <xf numFmtId="0" fontId="15" fillId="25" borderId="19" xfId="0" applyFont="1" applyFill="1" applyBorder="1" applyAlignment="1">
      <alignment horizontal="center" vertical="center" wrapText="1"/>
    </xf>
    <xf numFmtId="0" fontId="12" fillId="25" borderId="0" xfId="0" applyFont="1" applyFill="1"/>
    <xf numFmtId="0" fontId="63"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1" fillId="16" borderId="0" xfId="0" applyFont="1" applyFill="1" applyAlignment="1" applyProtection="1">
      <alignment vertical="center" wrapText="1"/>
      <protection locked="0"/>
    </xf>
    <xf numFmtId="4" fontId="47" fillId="3" borderId="0" xfId="0" applyNumberFormat="1" applyFont="1" applyFill="1" applyAlignment="1" applyProtection="1">
      <alignment vertical="center"/>
      <protection locked="0"/>
    </xf>
    <xf numFmtId="0" fontId="73"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1" fillId="16" borderId="0" xfId="0" applyFont="1" applyFill="1" applyAlignment="1" applyProtection="1">
      <alignment horizontal="left" vertical="center" wrapText="1"/>
      <protection locked="0"/>
    </xf>
    <xf numFmtId="171" fontId="47" fillId="16" borderId="0" xfId="0" applyNumberFormat="1" applyFont="1" applyFill="1" applyAlignment="1" applyProtection="1">
      <alignment horizontal="center" vertical="center" wrapText="1"/>
      <protection locked="0"/>
    </xf>
    <xf numFmtId="0" fontId="51" fillId="16" borderId="0" xfId="0" quotePrefix="1" applyFont="1" applyFill="1" applyProtection="1">
      <protection locked="0"/>
    </xf>
    <xf numFmtId="169" fontId="57" fillId="16" borderId="0" xfId="0" quotePrefix="1" applyNumberFormat="1" applyFont="1" applyFill="1" applyAlignment="1" applyProtection="1">
      <alignment horizontal="center" vertical="center" wrapText="1"/>
      <protection locked="0"/>
    </xf>
    <xf numFmtId="169" fontId="51" fillId="16" borderId="0" xfId="0" applyNumberFormat="1" applyFont="1" applyFill="1" applyAlignment="1" applyProtection="1">
      <alignment horizontal="center" vertical="center" wrapText="1"/>
      <protection locked="0"/>
    </xf>
    <xf numFmtId="9" fontId="51" fillId="16" borderId="0" xfId="3" applyFont="1" applyFill="1" applyBorder="1" applyAlignment="1" applyProtection="1">
      <alignment horizontal="center" vertical="center" wrapText="1"/>
      <protection locked="0"/>
    </xf>
    <xf numFmtId="0" fontId="56"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48" fillId="16" borderId="0" xfId="0" applyFont="1" applyFill="1" applyProtection="1">
      <protection locked="0"/>
    </xf>
    <xf numFmtId="4" fontId="47" fillId="16" borderId="0" xfId="0" applyNumberFormat="1" applyFont="1" applyFill="1" applyAlignment="1" applyProtection="1">
      <alignment vertical="center"/>
      <protection locked="0"/>
    </xf>
    <xf numFmtId="0" fontId="3" fillId="17" borderId="0" xfId="0" applyFont="1" applyFill="1" applyProtection="1">
      <protection locked="0"/>
    </xf>
    <xf numFmtId="0" fontId="47" fillId="16" borderId="0" xfId="0" applyFont="1" applyFill="1" applyAlignment="1" applyProtection="1">
      <alignment vertical="center"/>
      <protection locked="0"/>
    </xf>
    <xf numFmtId="0" fontId="3" fillId="20" borderId="0" xfId="0" applyFont="1" applyFill="1" applyProtection="1">
      <protection locked="0"/>
    </xf>
    <xf numFmtId="0" fontId="48" fillId="16" borderId="0" xfId="0" applyFont="1" applyFill="1" applyAlignment="1" applyProtection="1">
      <alignment horizontal="center"/>
      <protection locked="0"/>
    </xf>
    <xf numFmtId="0" fontId="48" fillId="16" borderId="0" xfId="0" applyFont="1" applyFill="1" applyAlignment="1" applyProtection="1">
      <alignment horizontal="left"/>
      <protection locked="0"/>
    </xf>
    <xf numFmtId="0" fontId="3" fillId="18" borderId="0" xfId="0" applyFont="1" applyFill="1" applyProtection="1">
      <protection locked="0"/>
    </xf>
    <xf numFmtId="0" fontId="51" fillId="16" borderId="0" xfId="0" applyFont="1" applyFill="1" applyAlignment="1" applyProtection="1">
      <alignment vertical="center"/>
      <protection locked="0"/>
    </xf>
    <xf numFmtId="0" fontId="54" fillId="16" borderId="0" xfId="0" applyFont="1" applyFill="1" applyAlignment="1" applyProtection="1">
      <alignment horizontal="left" vertical="center" wrapText="1" indent="2"/>
      <protection locked="0"/>
    </xf>
    <xf numFmtId="0" fontId="53" fillId="16" borderId="0" xfId="0" applyFont="1" applyFill="1" applyAlignment="1" applyProtection="1">
      <alignment vertical="top" wrapText="1"/>
      <protection locked="0"/>
    </xf>
    <xf numFmtId="0" fontId="35" fillId="16" borderId="0" xfId="0" applyFont="1" applyFill="1" applyAlignment="1" applyProtection="1">
      <alignment vertical="center" wrapText="1"/>
      <protection locked="0"/>
    </xf>
    <xf numFmtId="0" fontId="3" fillId="19" borderId="0" xfId="0" applyFont="1" applyFill="1" applyProtection="1">
      <protection locked="0"/>
    </xf>
    <xf numFmtId="0" fontId="51" fillId="16" borderId="0" xfId="0" applyFont="1" applyFill="1" applyProtection="1">
      <protection locked="0"/>
    </xf>
    <xf numFmtId="169" fontId="50" fillId="16" borderId="0" xfId="0" applyNumberFormat="1" applyFont="1" applyFill="1" applyAlignment="1" applyProtection="1">
      <alignment horizontal="center" vertical="center" wrapText="1"/>
      <protection locked="0"/>
    </xf>
    <xf numFmtId="0" fontId="52"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2"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3" fillId="16" borderId="0" xfId="0" applyFont="1" applyFill="1" applyAlignment="1">
      <alignment wrapText="1"/>
    </xf>
    <xf numFmtId="0" fontId="51" fillId="16" borderId="0" xfId="0" applyFont="1" applyFill="1" applyAlignment="1">
      <alignment horizontal="left" vertical="center" wrapText="1"/>
    </xf>
    <xf numFmtId="0" fontId="52" fillId="16" borderId="0" xfId="0" quotePrefix="1" applyFont="1" applyFill="1" applyAlignment="1">
      <alignment horizontal="left" vertical="center" indent="1"/>
    </xf>
    <xf numFmtId="169" fontId="51" fillId="16" borderId="0" xfId="0" applyNumberFormat="1" applyFont="1" applyFill="1" applyAlignment="1">
      <alignment horizontal="center" vertical="center" wrapText="1"/>
    </xf>
    <xf numFmtId="0" fontId="51" fillId="23" borderId="30" xfId="0" quotePrefix="1" applyFont="1" applyFill="1" applyBorder="1"/>
    <xf numFmtId="0" fontId="3" fillId="16" borderId="28" xfId="0" applyFont="1" applyFill="1" applyBorder="1"/>
    <xf numFmtId="0" fontId="51" fillId="23" borderId="29"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5" fillId="16" borderId="0" xfId="0" applyFont="1" applyFill="1" applyAlignment="1">
      <alignment vertical="center" wrapText="1"/>
    </xf>
    <xf numFmtId="0" fontId="66" fillId="16" borderId="0" xfId="0" applyFont="1" applyFill="1" applyAlignment="1">
      <alignment wrapText="1"/>
    </xf>
    <xf numFmtId="0" fontId="66" fillId="16" borderId="0" xfId="0" applyFont="1" applyFill="1"/>
    <xf numFmtId="0" fontId="67" fillId="4" borderId="29" xfId="0" applyFont="1" applyFill="1" applyBorder="1" applyAlignment="1">
      <alignment horizontal="center" vertical="center" wrapText="1"/>
    </xf>
    <xf numFmtId="0" fontId="66" fillId="16" borderId="28" xfId="0" applyFont="1" applyFill="1" applyBorder="1"/>
    <xf numFmtId="0" fontId="68" fillId="16" borderId="0" xfId="0" quotePrefix="1" applyFont="1" applyFill="1" applyAlignment="1">
      <alignment horizontal="center"/>
    </xf>
    <xf numFmtId="169" fontId="68"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7" xfId="0" applyNumberFormat="1" applyFont="1" applyBorder="1" applyAlignment="1">
      <alignment horizontal="center"/>
    </xf>
    <xf numFmtId="172" fontId="3" fillId="16" borderId="0" xfId="0" applyNumberFormat="1" applyFont="1" applyFill="1"/>
    <xf numFmtId="172" fontId="3" fillId="0" borderId="36" xfId="0" applyNumberFormat="1" applyFont="1" applyBorder="1" applyAlignment="1">
      <alignment horizontal="center"/>
    </xf>
    <xf numFmtId="172" fontId="3" fillId="16" borderId="0" xfId="0" applyNumberFormat="1" applyFont="1" applyFill="1" applyAlignment="1">
      <alignment wrapText="1"/>
    </xf>
    <xf numFmtId="165" fontId="3" fillId="0" borderId="36" xfId="0" applyNumberFormat="1" applyFont="1" applyBorder="1" applyAlignment="1">
      <alignment horizontal="center"/>
    </xf>
    <xf numFmtId="172" fontId="3" fillId="16" borderId="16" xfId="0" applyNumberFormat="1" applyFont="1" applyFill="1" applyBorder="1"/>
    <xf numFmtId="172" fontId="54" fillId="16" borderId="0" xfId="0" applyNumberFormat="1" applyFont="1" applyFill="1" applyAlignment="1">
      <alignment horizontal="left" vertical="center" wrapText="1" indent="3"/>
    </xf>
    <xf numFmtId="172" fontId="53" fillId="16" borderId="0" xfId="0" applyNumberFormat="1" applyFont="1" applyFill="1" applyAlignment="1">
      <alignment vertical="top" wrapText="1"/>
    </xf>
    <xf numFmtId="165" fontId="3" fillId="0" borderId="27" xfId="0" applyNumberFormat="1" applyFont="1" applyBorder="1" applyAlignment="1">
      <alignment horizontal="center"/>
    </xf>
    <xf numFmtId="172" fontId="3" fillId="0" borderId="37" xfId="0" applyNumberFormat="1" applyFont="1" applyBorder="1" applyAlignment="1">
      <alignment horizontal="center" vertical="top" wrapText="1"/>
    </xf>
    <xf numFmtId="172" fontId="3" fillId="0" borderId="16" xfId="0" applyNumberFormat="1" applyFont="1" applyBorder="1" applyAlignment="1">
      <alignment horizontal="center" vertical="top" wrapText="1"/>
    </xf>
    <xf numFmtId="165" fontId="3" fillId="0" borderId="15" xfId="0" applyNumberFormat="1" applyFont="1" applyBorder="1" applyAlignment="1">
      <alignment horizontal="center" vertical="top" wrapText="1"/>
    </xf>
    <xf numFmtId="172" fontId="3" fillId="16" borderId="17" xfId="0" applyNumberFormat="1" applyFont="1" applyFill="1" applyBorder="1"/>
    <xf numFmtId="172" fontId="51" fillId="16" borderId="16" xfId="0" applyNumberFormat="1" applyFont="1" applyFill="1" applyBorder="1"/>
    <xf numFmtId="172" fontId="50" fillId="16" borderId="0" xfId="0" applyNumberFormat="1" applyFont="1" applyFill="1" applyAlignment="1">
      <alignment horizontal="center" vertical="center" wrapText="1"/>
    </xf>
    <xf numFmtId="0" fontId="3" fillId="16" borderId="40" xfId="0" applyFont="1" applyFill="1" applyBorder="1"/>
    <xf numFmtId="0" fontId="52" fillId="16" borderId="16" xfId="0" quotePrefix="1" applyFont="1" applyFill="1" applyBorder="1" applyAlignment="1">
      <alignment horizontal="left" indent="1"/>
    </xf>
    <xf numFmtId="172" fontId="3" fillId="0" borderId="15" xfId="0" applyNumberFormat="1" applyFont="1" applyBorder="1" applyAlignment="1">
      <alignment horizontal="center" vertical="center"/>
    </xf>
    <xf numFmtId="172" fontId="3" fillId="16" borderId="41" xfId="0" applyNumberFormat="1" applyFont="1" applyFill="1" applyBorder="1" applyAlignment="1">
      <alignment horizontal="center" vertical="center"/>
    </xf>
    <xf numFmtId="165" fontId="3" fillId="0" borderId="16" xfId="0" applyNumberFormat="1" applyFont="1" applyBorder="1" applyAlignment="1">
      <alignment horizontal="center" vertical="center"/>
    </xf>
    <xf numFmtId="172" fontId="52" fillId="16" borderId="16" xfId="0" quotePrefix="1" applyNumberFormat="1" applyFont="1" applyFill="1" applyBorder="1" applyAlignment="1">
      <alignment horizontal="left" indent="1"/>
    </xf>
    <xf numFmtId="172" fontId="51" fillId="16" borderId="0" xfId="0" applyNumberFormat="1" applyFont="1" applyFill="1" applyAlignment="1">
      <alignment horizontal="center" vertical="center" wrapText="1"/>
    </xf>
    <xf numFmtId="0" fontId="3" fillId="4" borderId="3" xfId="0" applyFont="1" applyFill="1" applyBorder="1" applyAlignment="1">
      <alignment vertical="center" wrapText="1"/>
    </xf>
    <xf numFmtId="170"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175" fontId="60" fillId="3" borderId="39" xfId="1" applyNumberFormat="1" applyFont="1" applyFill="1" applyBorder="1" applyAlignment="1" applyProtection="1">
      <alignment horizontal="left" vertical="center" indent="2"/>
      <protection locked="0"/>
    </xf>
    <xf numFmtId="0" fontId="76" fillId="16" borderId="0" xfId="0" applyFont="1" applyFill="1"/>
    <xf numFmtId="0" fontId="77" fillId="16" borderId="0" xfId="0" applyFont="1" applyFill="1" applyAlignment="1" applyProtection="1">
      <alignment horizontal="left" vertical="top" wrapText="1"/>
      <protection locked="0"/>
    </xf>
    <xf numFmtId="175" fontId="60" fillId="3" borderId="4" xfId="1" applyNumberFormat="1" applyFont="1" applyFill="1" applyBorder="1" applyAlignment="1" applyProtection="1">
      <alignment horizontal="left" vertical="center" indent="2"/>
      <protection locked="0"/>
    </xf>
    <xf numFmtId="0" fontId="3" fillId="24" borderId="8" xfId="0" applyFont="1" applyFill="1" applyBorder="1" applyAlignment="1">
      <alignment horizontal="left" vertical="center" wrapText="1" indent="1"/>
    </xf>
    <xf numFmtId="0" fontId="3" fillId="24" borderId="11" xfId="0" applyFont="1" applyFill="1" applyBorder="1" applyAlignment="1">
      <alignment horizontal="left" vertical="center" wrapText="1" indent="1"/>
    </xf>
    <xf numFmtId="0" fontId="3" fillId="24" borderId="8" xfId="0" applyFont="1" applyFill="1" applyBorder="1" applyAlignment="1">
      <alignment horizontal="left" vertical="center" wrapText="1" indent="2"/>
    </xf>
    <xf numFmtId="0" fontId="3" fillId="24" borderId="11" xfId="0" applyFont="1" applyFill="1" applyBorder="1" applyAlignment="1">
      <alignment horizontal="left" vertical="center" wrapText="1" indent="2"/>
    </xf>
    <xf numFmtId="0" fontId="6" fillId="21" borderId="0" xfId="0" applyFont="1" applyFill="1" applyAlignment="1">
      <alignment horizontal="center" vertical="center"/>
    </xf>
    <xf numFmtId="0" fontId="71" fillId="21" borderId="0" xfId="0" applyFont="1" applyFill="1" applyAlignment="1">
      <alignment horizontal="left" vertical="center"/>
    </xf>
    <xf numFmtId="0" fontId="71" fillId="21" borderId="0" xfId="0" applyFont="1" applyFill="1" applyAlignment="1">
      <alignment horizontal="center" vertical="center"/>
    </xf>
    <xf numFmtId="0" fontId="74" fillId="16" borderId="8" xfId="0" applyFont="1" applyFill="1" applyBorder="1" applyAlignment="1">
      <alignment horizontal="center" vertical="center"/>
    </xf>
    <xf numFmtId="0" fontId="58" fillId="7" borderId="9" xfId="0" applyFont="1" applyFill="1" applyBorder="1" applyAlignment="1">
      <alignment horizontal="center" vertical="center" wrapText="1"/>
    </xf>
    <xf numFmtId="0" fontId="55" fillId="16" borderId="0" xfId="4" applyFont="1" applyFill="1" applyAlignment="1" applyProtection="1">
      <alignment horizontal="center" vertical="center"/>
    </xf>
    <xf numFmtId="0" fontId="36" fillId="16" borderId="0" xfId="0" applyFont="1" applyFill="1" applyAlignment="1">
      <alignment horizontal="left" vertical="center" wrapText="1"/>
    </xf>
    <xf numFmtId="0" fontId="58" fillId="10" borderId="0" xfId="0" applyFont="1" applyFill="1" applyAlignment="1">
      <alignment horizontal="center" vertical="center" wrapText="1"/>
    </xf>
    <xf numFmtId="0" fontId="58"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3" fillId="21" borderId="0" xfId="0" applyFont="1" applyFill="1" applyAlignment="1">
      <alignment horizontal="center" vertical="center"/>
    </xf>
    <xf numFmtId="0" fontId="15" fillId="11" borderId="19" xfId="0" applyFont="1" applyFill="1" applyBorder="1" applyAlignment="1">
      <alignment horizontal="center" vertical="center" wrapText="1"/>
    </xf>
    <xf numFmtId="0" fontId="62" fillId="21" borderId="19" xfId="0" applyFont="1" applyFill="1" applyBorder="1" applyAlignment="1">
      <alignment horizontal="center" vertical="center" wrapText="1"/>
    </xf>
    <xf numFmtId="0" fontId="62" fillId="21" borderId="14" xfId="0" applyFont="1" applyFill="1" applyBorder="1" applyAlignment="1">
      <alignment horizontal="center" vertical="center" wrapText="1"/>
    </xf>
    <xf numFmtId="0" fontId="22" fillId="21" borderId="19"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72" fillId="16" borderId="0" xfId="0" applyFont="1" applyFill="1" applyAlignment="1">
      <alignment horizontal="left" vertical="center" wrapText="1" indent="2"/>
    </xf>
    <xf numFmtId="0" fontId="15" fillId="14" borderId="45" xfId="0" applyFont="1" applyFill="1" applyBorder="1" applyAlignment="1">
      <alignment horizontal="center" vertical="center" wrapText="1"/>
    </xf>
    <xf numFmtId="0" fontId="15" fillId="14" borderId="46" xfId="0" applyFont="1" applyFill="1" applyBorder="1" applyAlignment="1">
      <alignment horizontal="center" vertical="center" wrapText="1"/>
    </xf>
    <xf numFmtId="0" fontId="15" fillId="14" borderId="47" xfId="0" applyFont="1" applyFill="1" applyBorder="1" applyAlignment="1">
      <alignment horizontal="center" vertical="center" wrapText="1"/>
    </xf>
    <xf numFmtId="0" fontId="70" fillId="16" borderId="0" xfId="0" applyFont="1" applyFill="1" applyAlignment="1" applyProtection="1">
      <alignment horizontal="center" wrapText="1"/>
      <protection locked="0"/>
    </xf>
    <xf numFmtId="0" fontId="48"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8"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65" fillId="16" borderId="0" xfId="0" applyFont="1" applyFill="1" applyAlignment="1">
      <alignment horizontal="center" wrapText="1"/>
    </xf>
    <xf numFmtId="9" fontId="3" fillId="0" borderId="42" xfId="0" applyNumberFormat="1" applyFont="1" applyBorder="1" applyAlignment="1">
      <alignment horizontal="center" vertical="center" wrapText="1"/>
    </xf>
    <xf numFmtId="9" fontId="3" fillId="0" borderId="38" xfId="0" applyNumberFormat="1" applyFont="1" applyBorder="1" applyAlignment="1">
      <alignment horizontal="center" vertical="center" wrapText="1"/>
    </xf>
    <xf numFmtId="9" fontId="3" fillId="0" borderId="43" xfId="0" applyNumberFormat="1" applyFont="1" applyBorder="1" applyAlignment="1">
      <alignment horizontal="center" vertical="center" wrapText="1"/>
    </xf>
    <xf numFmtId="0" fontId="35" fillId="3" borderId="0" xfId="0" applyFont="1" applyFill="1" applyAlignment="1">
      <alignment horizontal="left" vertical="center" wrapText="1"/>
    </xf>
    <xf numFmtId="9" fontId="64" fillId="0" borderId="31" xfId="0" applyNumberFormat="1" applyFont="1" applyBorder="1" applyAlignment="1">
      <alignment horizontal="center" vertical="center" wrapText="1"/>
    </xf>
    <xf numFmtId="9" fontId="64" fillId="0" borderId="32" xfId="0" applyNumberFormat="1" applyFont="1" applyBorder="1" applyAlignment="1">
      <alignment horizontal="center" vertical="center" wrapText="1"/>
    </xf>
    <xf numFmtId="9" fontId="64" fillId="0" borderId="33" xfId="0" applyNumberFormat="1" applyFont="1" applyBorder="1" applyAlignment="1">
      <alignment horizontal="center" vertical="center" wrapText="1"/>
    </xf>
    <xf numFmtId="9" fontId="64" fillId="0" borderId="18" xfId="0" applyNumberFormat="1" applyFont="1" applyBorder="1" applyAlignment="1">
      <alignment horizontal="center" vertical="center" wrapText="1"/>
    </xf>
    <xf numFmtId="9" fontId="64" fillId="0" borderId="34" xfId="0" applyNumberFormat="1" applyFont="1" applyBorder="1" applyAlignment="1">
      <alignment horizontal="center" vertical="center" wrapText="1"/>
    </xf>
    <xf numFmtId="9" fontId="64" fillId="0" borderId="35" xfId="0" applyNumberFormat="1" applyFont="1" applyBorder="1" applyAlignment="1">
      <alignment horizontal="center" vertical="center" wrapText="1"/>
    </xf>
    <xf numFmtId="0" fontId="64" fillId="4" borderId="0" xfId="0" applyFont="1" applyFill="1" applyAlignment="1">
      <alignment horizontal="center" vertical="center" wrapText="1"/>
    </xf>
    <xf numFmtId="0" fontId="64" fillId="4" borderId="18" xfId="0" applyFont="1" applyFill="1" applyBorder="1" applyAlignment="1">
      <alignment horizontal="center" vertical="center" wrapText="1"/>
    </xf>
    <xf numFmtId="0" fontId="51" fillId="16" borderId="0" xfId="0" applyFont="1" applyFill="1" applyAlignment="1" applyProtection="1">
      <alignment horizontal="center" vertical="center" wrapText="1"/>
      <protection locked="0"/>
    </xf>
    <xf numFmtId="0" fontId="70" fillId="16" borderId="0" xfId="0" applyFont="1" applyFill="1" applyAlignment="1" applyProtection="1">
      <alignment horizontal="center" vertical="center" wrapText="1"/>
      <protection locked="0"/>
    </xf>
    <xf numFmtId="0" fontId="3" fillId="22" borderId="2" xfId="0" applyFont="1" applyFill="1" applyBorder="1" applyAlignment="1">
      <alignment horizontal="center"/>
    </xf>
    <xf numFmtId="0" fontId="27" fillId="22" borderId="2" xfId="0" applyFont="1" applyFill="1" applyBorder="1" applyAlignment="1">
      <alignment horizontal="center" vertical="center"/>
    </xf>
    <xf numFmtId="0" fontId="3" fillId="0" borderId="0" xfId="0" applyNumberFormat="1" applyFont="1"/>
  </cellXfs>
  <cellStyles count="7">
    <cellStyle name="20% - Accent1" xfId="1" builtinId="30"/>
    <cellStyle name="Hyperlink" xfId="4" builtinId="8"/>
    <cellStyle name="Normal" xfId="0" builtinId="0"/>
    <cellStyle name="Normal 2" xfId="2" xr:uid="{00000000-0005-0000-0000-000002000000}"/>
    <cellStyle name="Normal 3" xfId="5" xr:uid="{0809A19F-EA27-4D5F-BC2B-1BE1BCEE8AD9}"/>
    <cellStyle name="Normal 3 2" xfId="6" xr:uid="{A98C737E-DF3B-4C50-B756-ACB9D33BA509}"/>
    <cellStyle name="Percent" xfId="3" builtinId="5"/>
  </cellStyles>
  <dxfs count="152">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51"/>
    </tableStyle>
    <tableStyle name="Slicer Style 1" pivot="0" table="0" count="1" xr9:uid="{F57D6513-AC47-4077-9F8D-C40FD9A6BFDA}">
      <tableStyleElement type="wholeTable" dxfId="150"/>
    </tableStyle>
    <tableStyle name="Slicer Style 2" pivot="0" table="0" count="1" xr9:uid="{01BD0BB3-5670-42DB-97C2-63B1C6D3857D}">
      <tableStyleElement type="wholeTable" dxfId="149"/>
    </tableStyle>
    <tableStyle name="Slicer Style 3" pivot="0" table="0" count="1" xr9:uid="{93557E10-2300-44AC-8EEB-27707F876CC7}">
      <tableStyleElement type="headerRow" dxfId="148"/>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Progress'!$Z$32</c:f>
              <c:strCache>
                <c:ptCount val="1"/>
                <c:pt idx="0">
                  <c:v>Syllubus(T)</c:v>
                </c:pt>
              </c:strCache>
            </c:strRef>
          </c:tx>
          <c:spPr>
            <a:solidFill>
              <a:schemeClr val="bg2">
                <a:lumMod val="90000"/>
              </a:schemeClr>
            </a:solidFill>
            <a:ln>
              <a:noFill/>
            </a:ln>
            <a:effectLst/>
          </c:spPr>
          <c:invertIfNegative val="0"/>
          <c:dLbls>
            <c:dLbl>
              <c:idx val="0"/>
              <c:tx>
                <c:rich>
                  <a:bodyPr/>
                  <a:lstStyle/>
                  <a:p>
                    <a:fld id="{264884BC-6654-447A-928A-8FD4A361738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7172DD1B-0936-4AF2-8CF4-884231B8305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BEFF04DD-9E1D-4D43-94B1-F5EDABDD21B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5C2C01D7-F3E8-4FC1-90C2-C1E19A73797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1BD67C8D-D3C9-41AC-B369-EF4E7C8BAA4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70DCBEAD-7B19-4EE7-BC8E-FB5FE87ADAC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dLbl>
              <c:idx val="6"/>
              <c:tx>
                <c:rich>
                  <a:bodyPr/>
                  <a:lstStyle/>
                  <a:p>
                    <a:fld id="{8D4101C0-A42C-40BB-90A3-5F7E04769FB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Progress'!$Z$33:$Z$39</c:f>
              <c:numCache>
                <c:formatCode>0%</c:formatCode>
                <c:ptCount val="7"/>
                <c:pt idx="0">
                  <c:v>1</c:v>
                </c:pt>
                <c:pt idx="1">
                  <c:v>1</c:v>
                </c:pt>
                <c:pt idx="2">
                  <c:v>1</c:v>
                </c:pt>
                <c:pt idx="3">
                  <c:v>1</c:v>
                </c:pt>
                <c:pt idx="4">
                  <c:v>1</c:v>
                </c:pt>
                <c:pt idx="5">
                  <c:v>1</c:v>
                </c:pt>
                <c:pt idx="6">
                  <c:v>1</c:v>
                </c:pt>
              </c:numCache>
            </c:numRef>
          </c:val>
          <c:extLst>
            <c:ext xmlns:c15="http://schemas.microsoft.com/office/drawing/2012/chart" uri="{02D57815-91ED-43cb-92C2-25804820EDAC}">
              <c15:datalabelsRange>
                <c15:f>'📊 Progress'!$R$33:$R$39</c15:f>
                <c15:dlblRangeCache>
                  <c:ptCount val="7"/>
                  <c:pt idx="0">
                    <c:v>3</c:v>
                  </c:pt>
                  <c:pt idx="1">
                    <c:v>2</c:v>
                  </c:pt>
                  <c:pt idx="2">
                    <c:v>4</c:v>
                  </c:pt>
                  <c:pt idx="3">
                    <c:v>4</c:v>
                  </c:pt>
                  <c:pt idx="4">
                    <c:v>2</c:v>
                  </c:pt>
                  <c:pt idx="5">
                    <c:v>7</c:v>
                  </c:pt>
                  <c:pt idx="6">
                    <c:v>7</c:v>
                  </c:pt>
                </c15:dlblRangeCache>
              </c15:datalabelsRange>
            </c:ext>
            <c:ext xmlns:c16="http://schemas.microsoft.com/office/drawing/2014/chart" uri="{C3380CC4-5D6E-409C-BE32-E72D297353CC}">
              <c16:uniqueId val="{0000000A-54EE-422A-8173-85E89CCAC774}"/>
            </c:ext>
          </c:extLst>
        </c:ser>
        <c:ser>
          <c:idx val="3"/>
          <c:order val="3"/>
          <c:tx>
            <c:strRef>
              <c:f>'📊 Progress'!$AB$32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2E0D93F2-0461-4965-8BA9-398ACB8A819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FE67558D-6094-420F-8500-E76BCE03795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21C080C9-BCA7-4A32-936A-A17829F8BAA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9F28DA1E-604A-48A8-98EA-C2EF351B53A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005D7020-D243-4084-B1D5-B8FC7F9B3F8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145B1F58-D16B-4F7E-87F5-A754E5A14AF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dLbl>
              <c:idx val="6"/>
              <c:tx>
                <c:rich>
                  <a:bodyPr/>
                  <a:lstStyle/>
                  <a:p>
                    <a:fld id="{9415B48F-0DE5-4A8F-A3AA-4AF5628C85C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Progress'!$AB$33:$AB$39</c:f>
              <c:numCache>
                <c:formatCode>0%</c:formatCode>
                <c:ptCount val="7"/>
                <c:pt idx="0">
                  <c:v>1</c:v>
                </c:pt>
                <c:pt idx="1">
                  <c:v>1</c:v>
                </c:pt>
                <c:pt idx="2">
                  <c:v>1</c:v>
                </c:pt>
                <c:pt idx="3">
                  <c:v>1</c:v>
                </c:pt>
                <c:pt idx="4">
                  <c:v>1</c:v>
                </c:pt>
                <c:pt idx="5">
                  <c:v>1</c:v>
                </c:pt>
                <c:pt idx="6">
                  <c:v>1</c:v>
                </c:pt>
              </c:numCache>
            </c:numRef>
          </c:val>
          <c:extLst>
            <c:ext xmlns:c15="http://schemas.microsoft.com/office/drawing/2012/chart" uri="{02D57815-91ED-43cb-92C2-25804820EDAC}">
              <c15:datalabelsRange>
                <c15:f>'📊 Progress'!$P$33:$P$39</c15:f>
                <c15:dlblRangeCache>
                  <c:ptCount val="7"/>
                  <c:pt idx="0">
                    <c:v>3</c:v>
                  </c:pt>
                  <c:pt idx="1">
                    <c:v>2</c:v>
                  </c:pt>
                  <c:pt idx="2">
                    <c:v>4</c:v>
                  </c:pt>
                  <c:pt idx="3">
                    <c:v>4</c:v>
                  </c:pt>
                  <c:pt idx="4">
                    <c:v>2</c:v>
                  </c:pt>
                  <c:pt idx="5">
                    <c:v>7</c:v>
                  </c:pt>
                  <c:pt idx="6">
                    <c:v>7</c:v>
                  </c:pt>
                </c15:dlblRangeCache>
              </c15:datalabelsRange>
            </c:ext>
            <c:ext xmlns:c16="http://schemas.microsoft.com/office/drawing/2014/chart" uri="{C3380CC4-5D6E-409C-BE32-E72D297353CC}">
              <c16:uniqueId val="{00000015-54EE-422A-8173-85E89CCAC774}"/>
            </c:ext>
          </c:extLst>
        </c:ser>
        <c:ser>
          <c:idx val="5"/>
          <c:order val="5"/>
          <c:tx>
            <c:strRef>
              <c:f>'📊 Progress'!$AD$32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05496F95-3404-49E6-9749-B8402AEE9A5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A3D086A9-39FE-434C-BF4F-9AA029E3EC6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90E9AE1E-014E-468F-B19E-B1CD021087A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3809808E-FEED-49EC-AD81-E94AB5D01E0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DF3E25FE-BE6B-4218-883C-99FEC898E06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D795EE1C-F75C-4EBF-9BA0-3AE8150C91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dLbl>
              <c:idx val="6"/>
              <c:tx>
                <c:rich>
                  <a:bodyPr/>
                  <a:lstStyle/>
                  <a:p>
                    <a:fld id="{D97723CD-F644-4F6F-8982-A2557820A84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Progress'!$AD$33:$AD$39</c:f>
              <c:numCache>
                <c:formatCode>0%</c:formatCode>
                <c:ptCount val="7"/>
                <c:pt idx="0">
                  <c:v>1</c:v>
                </c:pt>
                <c:pt idx="1">
                  <c:v>1</c:v>
                </c:pt>
                <c:pt idx="2">
                  <c:v>1</c:v>
                </c:pt>
                <c:pt idx="3">
                  <c:v>1</c:v>
                </c:pt>
                <c:pt idx="4">
                  <c:v>1</c:v>
                </c:pt>
                <c:pt idx="5">
                  <c:v>1</c:v>
                </c:pt>
                <c:pt idx="6">
                  <c:v>1</c:v>
                </c:pt>
              </c:numCache>
            </c:numRef>
          </c:val>
          <c:extLst>
            <c:ext xmlns:c15="http://schemas.microsoft.com/office/drawing/2012/chart" uri="{02D57815-91ED-43cb-92C2-25804820EDAC}">
              <c15:datalabelsRange>
                <c15:f>'📊 Progress'!$N$33:$N$39</c15:f>
                <c15:dlblRangeCache>
                  <c:ptCount val="7"/>
                  <c:pt idx="0">
                    <c:v>3</c:v>
                  </c:pt>
                  <c:pt idx="1">
                    <c:v>2</c:v>
                  </c:pt>
                  <c:pt idx="2">
                    <c:v>4</c:v>
                  </c:pt>
                  <c:pt idx="3">
                    <c:v>4</c:v>
                  </c:pt>
                  <c:pt idx="4">
                    <c:v>2</c:v>
                  </c:pt>
                  <c:pt idx="5">
                    <c:v>7</c:v>
                  </c:pt>
                  <c:pt idx="6">
                    <c:v>7</c:v>
                  </c:pt>
                </c15:dlblRangeCache>
              </c15:datalabelsRange>
            </c:ext>
            <c:ext xmlns:c16="http://schemas.microsoft.com/office/drawing/2014/chart" uri="{C3380CC4-5D6E-409C-BE32-E72D297353CC}">
              <c16:uniqueId val="{00000020-54EE-422A-8173-85E89CCAC774}"/>
            </c:ext>
          </c:extLst>
        </c:ser>
        <c:ser>
          <c:idx val="7"/>
          <c:order val="7"/>
          <c:tx>
            <c:strRef>
              <c:f>'📊 Progress'!$AF$32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6AF7229E-6D7C-4290-8EFA-33C2A2559A6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48D39F46-8F8C-4200-8170-5497565B534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16F91FA8-7AB2-4CC5-AD04-09770E81761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38EFE3CD-BE2D-437A-872E-5BC54FE3441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EC2EAFD8-64AC-4489-944E-2498AE0F7F3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2F705DCB-7968-45CF-A82B-1FD3FC2E75A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dLbl>
              <c:idx val="6"/>
              <c:tx>
                <c:rich>
                  <a:bodyPr/>
                  <a:lstStyle/>
                  <a:p>
                    <a:fld id="{F029B63A-A033-4130-A36B-6D8AF17752B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Progress'!$AF$33:$AF$39</c:f>
              <c:numCache>
                <c:formatCode>0%</c:formatCode>
                <c:ptCount val="7"/>
                <c:pt idx="0">
                  <c:v>1</c:v>
                </c:pt>
                <c:pt idx="1">
                  <c:v>1</c:v>
                </c:pt>
                <c:pt idx="2">
                  <c:v>1</c:v>
                </c:pt>
                <c:pt idx="3">
                  <c:v>1</c:v>
                </c:pt>
                <c:pt idx="4">
                  <c:v>1</c:v>
                </c:pt>
                <c:pt idx="5">
                  <c:v>1</c:v>
                </c:pt>
                <c:pt idx="6">
                  <c:v>1</c:v>
                </c:pt>
              </c:numCache>
            </c:numRef>
          </c:val>
          <c:extLst>
            <c:ext xmlns:c15="http://schemas.microsoft.com/office/drawing/2012/chart" uri="{02D57815-91ED-43cb-92C2-25804820EDAC}">
              <c15:datalabelsRange>
                <c15:f>'📊 Progress'!$U$33:$U$39</c15:f>
                <c15:dlblRangeCache>
                  <c:ptCount val="7"/>
                  <c:pt idx="0">
                    <c:v>3</c:v>
                  </c:pt>
                  <c:pt idx="1">
                    <c:v>2</c:v>
                  </c:pt>
                  <c:pt idx="2">
                    <c:v>4</c:v>
                  </c:pt>
                  <c:pt idx="3">
                    <c:v>4</c:v>
                  </c:pt>
                  <c:pt idx="4">
                    <c:v>2</c:v>
                  </c:pt>
                  <c:pt idx="5">
                    <c:v>7</c:v>
                  </c:pt>
                  <c:pt idx="6">
                    <c:v>7</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Progress'!$Y$32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51911D8E-A5A1-40D4-AFC7-E135FBC8053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516849B1-A2FD-4C46-BA51-ADEDE62D746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CE6399E3-5866-49B9-BE01-2300D0FFC98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B560F89E-C25D-46AE-A738-5D0220112D3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F57A1011-052F-4CE8-85E8-8D0AFA1E70A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C58B454B-4EDC-4769-B27A-857528CFF1F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1-54EE-422A-8173-85E89CCAC774}"/>
                </c:ext>
              </c:extLst>
            </c:dLbl>
            <c:dLbl>
              <c:idx val="6"/>
              <c:tx>
                <c:rich>
                  <a:bodyPr/>
                  <a:lstStyle/>
                  <a:p>
                    <a:fld id="{A74FB40A-EF0A-4DA2-947D-1741757CCC3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Progress'!$Y$33:$Y$39</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 Progress'!$Q$33:$Q$39</c15:f>
                <c15:dlblRangeCache>
                  <c:ptCount val="7"/>
                </c15:dlblRangeCache>
              </c15:datalabelsRange>
            </c:ext>
            <c:ext xmlns:c16="http://schemas.microsoft.com/office/drawing/2014/chart" uri="{C3380CC4-5D6E-409C-BE32-E72D297353CC}">
              <c16:uniqueId val="{00000036-54EE-422A-8173-85E89CCAC774}"/>
            </c:ext>
          </c:extLst>
        </c:ser>
        <c:ser>
          <c:idx val="2"/>
          <c:order val="2"/>
          <c:tx>
            <c:strRef>
              <c:f>'📊 Progress'!$AA$32</c:f>
              <c:strCache>
                <c:ptCount val="1"/>
                <c:pt idx="0">
                  <c:v>Practice(D)</c:v>
                </c:pt>
              </c:strCache>
            </c:strRef>
          </c:tx>
          <c:spPr>
            <a:solidFill>
              <a:srgbClr val="EC7524"/>
            </a:solidFill>
            <a:ln>
              <a:noFill/>
            </a:ln>
            <a:effectLst/>
          </c:spPr>
          <c:invertIfNegative val="0"/>
          <c:dLbls>
            <c:dLbl>
              <c:idx val="0"/>
              <c:tx>
                <c:rich>
                  <a:bodyPr/>
                  <a:lstStyle/>
                  <a:p>
                    <a:fld id="{F4D3CC0A-D77C-4F27-A01E-28B70186880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5A16F070-9993-4580-9C1D-C393B12AE29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34875EDC-D9B2-4CEE-B80A-D9006551B5C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45A82411-72E8-4437-9E73-63C604521F9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6B658660-A347-4910-A2B0-9B5EA1C1BD2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587B5C74-777C-4FFF-AD43-B52B7320D40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dLbl>
              <c:idx val="6"/>
              <c:tx>
                <c:rich>
                  <a:bodyPr/>
                  <a:lstStyle/>
                  <a:p>
                    <a:fld id="{2FDF3ABE-8074-4D85-AAC8-ED1D5D2EE3F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Progress'!$AA$33:$AA$39</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 Progress'!$O$33:$O$39</c15:f>
                <c15:dlblRangeCache>
                  <c:ptCount val="7"/>
                </c15:dlblRangeCache>
              </c15:datalabelsRange>
            </c:ext>
            <c:ext xmlns:c16="http://schemas.microsoft.com/office/drawing/2014/chart" uri="{C3380CC4-5D6E-409C-BE32-E72D297353CC}">
              <c16:uniqueId val="{00000041-54EE-422A-8173-85E89CCAC774}"/>
            </c:ext>
          </c:extLst>
        </c:ser>
        <c:ser>
          <c:idx val="4"/>
          <c:order val="4"/>
          <c:tx>
            <c:strRef>
              <c:f>'📊 Progress'!$AC$32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0CE8AE70-A96C-464F-AA35-161B1CADE44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8F36878D-BF14-4CBF-B459-8C14433BE7B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05CBF747-7AC5-45EB-B366-0420E5E7291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A142CFAC-8179-459D-AF19-C2F3C329F82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3A97E4BE-4D00-4AD6-9E5C-550697DC5F8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00A05D12-E7F2-4643-B575-411FA06BD1A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dLbl>
              <c:idx val="6"/>
              <c:tx>
                <c:rich>
                  <a:bodyPr/>
                  <a:lstStyle/>
                  <a:p>
                    <a:fld id="{852DEA71-7FE1-4257-B61F-B5B735CA97E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Progress'!$AC$33:$AC$39</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 Progress'!$I$33:$I$39</c15:f>
                <c15:dlblRangeCache>
                  <c:ptCount val="7"/>
                </c15:dlblRangeCache>
              </c15:datalabelsRange>
            </c:ext>
            <c:ext xmlns:c16="http://schemas.microsoft.com/office/drawing/2014/chart" uri="{C3380CC4-5D6E-409C-BE32-E72D297353CC}">
              <c16:uniqueId val="{0000004C-54EE-422A-8173-85E89CCAC774}"/>
            </c:ext>
          </c:extLst>
        </c:ser>
        <c:ser>
          <c:idx val="6"/>
          <c:order val="6"/>
          <c:tx>
            <c:strRef>
              <c:f>'📊 Progress'!$AE$32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ADF04A6B-0CAA-4940-A35F-F5D76E835C7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BAED8F68-05A7-4C74-A53B-C27DD6F09D0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6FA9C4B5-E1EF-4CC3-8C46-08AE47EB5BA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B1AFA6BA-700D-44F6-B594-73999C75216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DD182138-ACDA-4AFF-8D2E-B3A6FCD2235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04C6C685-CBFB-4FFE-9AEB-5CB2D0BF222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dLbl>
              <c:idx val="6"/>
              <c:tx>
                <c:rich>
                  <a:bodyPr/>
                  <a:lstStyle/>
                  <a:p>
                    <a:fld id="{9DF0434F-0673-408B-99C7-0947F5D19C4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Progress'!$AE$33:$AE$39</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 Progress'!$T$33:$T$39</c15:f>
                <c15:dlblRangeCache>
                  <c:ptCount val="7"/>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Progress'!$AG$32</c:f>
              <c:strCache>
                <c:ptCount val="1"/>
                <c:pt idx="0">
                  <c:v>Confidence</c:v>
                </c:pt>
              </c:strCache>
            </c:strRef>
          </c:tx>
          <c:spPr>
            <a:ln w="57150" cap="rnd">
              <a:solidFill>
                <a:schemeClr val="bg1"/>
              </a:solidFill>
              <a:round/>
            </a:ln>
            <a:effectLst/>
          </c:spPr>
          <c:marker>
            <c:symbol val="none"/>
          </c:marker>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Progress'!$AG$33:$AG$39</c:f>
              <c:numCache>
                <c:formatCode>0%</c:formatCode>
                <c:ptCount val="7"/>
                <c:pt idx="0">
                  <c:v>0.46666666666666662</c:v>
                </c:pt>
                <c:pt idx="1">
                  <c:v>0.4</c:v>
                </c:pt>
                <c:pt idx="2">
                  <c:v>0.5</c:v>
                </c:pt>
                <c:pt idx="3">
                  <c:v>0.5</c:v>
                </c:pt>
                <c:pt idx="4">
                  <c:v>0.4</c:v>
                </c:pt>
                <c:pt idx="5">
                  <c:v>0.47333333333333327</c:v>
                </c:pt>
                <c:pt idx="6">
                  <c:v>0.47333333333333327</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[CFA Level 3 Performance Tracker '24.xlsx]Working!PivotTable4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5">
              <a:lumMod val="60000"/>
              <a:lumOff val="40000"/>
            </a:schemeClr>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20000"/>
              <a:lumOff val="8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solidFill>
              <a:schemeClr val="accent5">
                <a:lumMod val="60000"/>
                <a:lumOff val="40000"/>
              </a:schemeClr>
            </a:solidFill>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1-6D4F-416B-9BD3-1AA68D0B59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33</c:v>
                </c:pt>
              </c:numCache>
            </c:numRef>
          </c:val>
          <c:extLst>
            <c:ext xmlns:c16="http://schemas.microsoft.com/office/drawing/2014/chart" uri="{C3380CC4-5D6E-409C-BE32-E72D297353CC}">
              <c16:uniqueId val="{00000004-8881-46F9-868B-4BF2AF26EB4A}"/>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[CFA Level 3 Performance Tracker '24.xlsx]Working!PivotTable5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4">
              <a:lumMod val="60000"/>
              <a:lumOff val="40000"/>
            </a:schemeClr>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4">
              <a:lumMod val="60000"/>
              <a:lumOff val="40000"/>
            </a:schemeClr>
          </a:solidFill>
          <a:ln w="19050">
            <a:solidFill>
              <a:schemeClr val="accent4">
                <a:lumMod val="60000"/>
                <a:lumOff val="40000"/>
              </a:schemeClr>
            </a:solidFill>
          </a:ln>
          <a:effectLst/>
        </c:spPr>
      </c:pivotFmt>
      <c:pivotFmt>
        <c:idx val="9"/>
        <c:spPr>
          <a:solidFill>
            <a:schemeClr val="accent4">
              <a:lumMod val="60000"/>
              <a:lumOff val="40000"/>
            </a:schemeClr>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solidFill>
              <a:schemeClr val="accent4">
                <a:lumMod val="60000"/>
                <a:lumOff val="40000"/>
              </a:schemeClr>
            </a:solidFill>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1-B57D-42CD-ACA6-98A8E18706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33</c:v>
                </c:pt>
              </c:numCache>
            </c:numRef>
          </c:val>
          <c:extLst>
            <c:ext xmlns:c16="http://schemas.microsoft.com/office/drawing/2014/chart" uri="{C3380CC4-5D6E-409C-BE32-E72D297353CC}">
              <c16:uniqueId val="{00000004-E27D-4C54-8D4F-5391B00FCF8E}"/>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5626C88A-937E-4EF0-8ED4-976380BF537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0FD96604-5EFC-4455-AFBF-70C1484B797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6176F966-2C10-4C88-B20E-141A1725991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73D1D41C-0880-4632-9842-E0836793F85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0.17006802721088435</c:v>
                </c:pt>
                <c:pt idx="3">
                  <c:v>0.82993197278911568</c:v>
                </c:pt>
              </c:numCache>
            </c:numRef>
          </c:val>
          <c:extLst>
            <c:ext xmlns:c15="http://schemas.microsoft.com/office/drawing/2012/chart" uri="{02D57815-91ED-43cb-92C2-25804820EDAC}">
              <c15:datalabelsRange>
                <c15:f>Working!$E$54:$E$57</c15:f>
                <c15:dlblRangeCache>
                  <c:ptCount val="4"/>
                  <c:pt idx="2">
                    <c:v>Extra Undone, 29</c:v>
                  </c:pt>
                  <c:pt idx="3">
                    <c:v>Undone, 145</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5CF61257-0486-4AF4-A0A2-B80C2260147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C4DD68A9-FC40-444B-862B-0818D38CA9C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49C48AC0-5777-48C0-8A4E-EF08EAC6920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447C8B43-1983-4F70-9B2F-B51A3AF9AFC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0.17006802721088438</c:v>
                </c:pt>
                <c:pt idx="3">
                  <c:v>0.82993197278911557</c:v>
                </c:pt>
              </c:numCache>
            </c:numRef>
          </c:val>
          <c:extLst>
            <c:ext xmlns:c15="http://schemas.microsoft.com/office/drawing/2012/chart" uri="{02D57815-91ED-43cb-92C2-25804820EDAC}">
              <c15:datalabelsRange>
                <c15:f>Working!$E$61:$E$64</c15:f>
                <c15:dlblRangeCache>
                  <c:ptCount val="4"/>
                  <c:pt idx="2">
                    <c:v>Extra Undone, 28</c:v>
                  </c:pt>
                  <c:pt idx="3">
                    <c:v>Undone, 136</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A4EF40FF-E495-4A2B-A312-EA68DA969B8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BEFA94EB-8615-43F1-BD1B-0D37A2032BF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AAC5F810-1832-4328-A87B-C722945342D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76F09F21-CC57-4EEF-B56F-E2E9A6E9066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0.1700680272108844</c:v>
                </c:pt>
                <c:pt idx="3">
                  <c:v>0.82993197278911557</c:v>
                </c:pt>
              </c:numCache>
            </c:numRef>
          </c:val>
          <c:extLst>
            <c:ext xmlns:c15="http://schemas.microsoft.com/office/drawing/2012/chart" uri="{02D57815-91ED-43cb-92C2-25804820EDAC}">
              <c15:datalabelsRange>
                <c15:f>Working!$E$68:$E$71</c15:f>
                <c15:dlblRangeCache>
                  <c:ptCount val="4"/>
                  <c:pt idx="2">
                    <c:v>Extra Undone, 57</c:v>
                  </c:pt>
                  <c:pt idx="3">
                    <c:v>Undone, 281</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73E1D1F3-991E-497F-9807-5BB4D4EFE96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F50C6CE-2D92-4EEA-A990-5C595395A10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8A48FB24-1696-4C2A-99A3-0A03C1FD187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AF0F1168-6FFF-478E-99CC-E1799BD651F2}"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0.17006802721088435</c:v>
                </c:pt>
                <c:pt idx="3">
                  <c:v>0.82993197278911568</c:v>
                </c:pt>
              </c:numCache>
            </c:numRef>
          </c:val>
          <c:extLst>
            <c:ext xmlns:c15="http://schemas.microsoft.com/office/drawing/2012/chart" uri="{02D57815-91ED-43cb-92C2-25804820EDAC}">
              <c15:datalabelsRange>
                <c15:f>Working!$E$47:$E$50</c15:f>
                <c15:dlblRangeCache>
                  <c:ptCount val="4"/>
                  <c:pt idx="2">
                    <c:v>Extra Undone, 6</c:v>
                  </c:pt>
                  <c:pt idx="3">
                    <c:v>Undone, 27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DEC190B4-7951-4B5A-ACB5-D3C833E0CA4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DA1F556-F14E-4829-869B-BB88E22D76A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EF98F11C-4CCC-46D7-8F03-CCF5F0FE501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D06B9460-B67E-4571-B9F0-BE44489126F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0.17006802721088435</c:v>
                </c:pt>
                <c:pt idx="3">
                  <c:v>0.82993197278911568</c:v>
                </c:pt>
              </c:numCache>
            </c:numRef>
          </c:val>
          <c:extLst>
            <c:ext xmlns:c15="http://schemas.microsoft.com/office/drawing/2012/chart" uri="{02D57815-91ED-43cb-92C2-25804820EDAC}">
              <c15:datalabelsRange>
                <c15:f>Working!$E$54:$E$57</c15:f>
                <c15:dlblRangeCache>
                  <c:ptCount val="4"/>
                  <c:pt idx="2">
                    <c:v>Extra Undone, 29</c:v>
                  </c:pt>
                  <c:pt idx="3">
                    <c:v>Undone, 145</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35BA0B24-F615-44BC-B391-8DA4043820D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FFE018C3-0758-452B-A13F-F52448EA923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6C906506-D7C0-49F8-BEA3-5DF80B2C13D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E6F05A93-6DA4-4BD7-A771-62E2712F11A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0.17006802721088438</c:v>
                </c:pt>
                <c:pt idx="3">
                  <c:v>0.82993197278911557</c:v>
                </c:pt>
              </c:numCache>
            </c:numRef>
          </c:val>
          <c:extLst>
            <c:ext xmlns:c15="http://schemas.microsoft.com/office/drawing/2012/chart" uri="{02D57815-91ED-43cb-92C2-25804820EDAC}">
              <c15:datalabelsRange>
                <c15:f>Working!$E$61:$E$64</c15:f>
                <c15:dlblRangeCache>
                  <c:ptCount val="4"/>
                  <c:pt idx="2">
                    <c:v>Extra Undone, 28</c:v>
                  </c:pt>
                  <c:pt idx="3">
                    <c:v>Undone, 136</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87396993-78A3-4A89-8A2C-D1B113D7A2E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60A094F-D05B-4A3A-9896-7167042C942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DFBCE678-5FCD-4092-AF0B-71A46C63C69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A202EC14-A096-4625-9DC4-8BF7C33B41C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0.1700680272108844</c:v>
                </c:pt>
                <c:pt idx="3">
                  <c:v>0.82993197278911557</c:v>
                </c:pt>
              </c:numCache>
            </c:numRef>
          </c:val>
          <c:extLst>
            <c:ext xmlns:c15="http://schemas.microsoft.com/office/drawing/2012/chart" uri="{02D57815-91ED-43cb-92C2-25804820EDAC}">
              <c15:datalabelsRange>
                <c15:f>Working!$E$68:$E$71</c15:f>
                <c15:dlblRangeCache>
                  <c:ptCount val="4"/>
                  <c:pt idx="2">
                    <c:v>Extra Undone, 57</c:v>
                  </c:pt>
                  <c:pt idx="3">
                    <c:v>Undone, 281</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Progress'!$B$33:$B$39</c:f>
              <c:numCache>
                <c:formatCode>0.0;\-0.0;;@</c:formatCode>
                <c:ptCount val="7"/>
                <c:pt idx="0">
                  <c:v>2.5</c:v>
                </c:pt>
                <c:pt idx="1">
                  <c:v>2.5</c:v>
                </c:pt>
                <c:pt idx="2">
                  <c:v>2.5</c:v>
                </c:pt>
                <c:pt idx="3">
                  <c:v>2.5</c:v>
                </c:pt>
                <c:pt idx="4">
                  <c:v>2.5</c:v>
                </c:pt>
                <c:pt idx="5">
                  <c:v>2.5</c:v>
                </c:pt>
                <c:pt idx="6">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4.2262552659900775E-2"/>
                  <c:y val="5.4350234403786467E-2"/>
                </c:manualLayout>
              </c:layout>
              <c:tx>
                <c:rich>
                  <a:bodyPr/>
                  <a:lstStyle/>
                  <a:p>
                    <a:fld id="{0FA5E0B6-A9DA-4515-8E4D-CE3E2C6F5398}"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layout>
                <c:manualLayout>
                  <c:x val="-7.7170916795232053E-2"/>
                  <c:y val="0.11745688355241723"/>
                </c:manualLayout>
              </c:layout>
              <c:tx>
                <c:rich>
                  <a:bodyPr/>
                  <a:lstStyle/>
                  <a:p>
                    <a:fld id="{20E4284A-DBFD-4C3C-A943-678C5FDB999E}"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77-4FB0-9F37-13FB91287652}"/>
                </c:ext>
              </c:extLst>
            </c:dLbl>
            <c:dLbl>
              <c:idx val="2"/>
              <c:layout>
                <c:manualLayout>
                  <c:x val="-6.2456496240665023E-2"/>
                  <c:y val="-0.1149178341793959"/>
                </c:manualLayout>
              </c:layout>
              <c:tx>
                <c:rich>
                  <a:bodyPr/>
                  <a:lstStyle/>
                  <a:p>
                    <a:fld id="{93D05790-6B01-4EEB-A4A5-DB89F7EC1B2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5.1770353657695174E-2"/>
                  <c:y val="0.11885106292534103"/>
                </c:manualLayout>
              </c:layout>
              <c:tx>
                <c:rich>
                  <a:bodyPr/>
                  <a:lstStyle/>
                  <a:p>
                    <a:fld id="{06CE6B59-66D2-4605-A7FD-A87D66105B6C}"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dLbl>
              <c:idx val="4"/>
              <c:layout>
                <c:manualLayout>
                  <c:x val="-5.1650901663081651E-2"/>
                  <c:y val="7.368413191797607E-2"/>
                </c:manualLayout>
              </c:layout>
              <c:tx>
                <c:rich>
                  <a:bodyPr/>
                  <a:lstStyle/>
                  <a:p>
                    <a:fld id="{CBE4350B-9AF4-49AD-A5CE-594B5B8DE425}"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77-4FB0-9F37-13FB91287652}"/>
                </c:ext>
              </c:extLst>
            </c:dLbl>
            <c:dLbl>
              <c:idx val="5"/>
              <c:layout>
                <c:manualLayout>
                  <c:x val="-1.6987029382419416E-2"/>
                  <c:y val="-4.8873751553366832E-2"/>
                </c:manualLayout>
              </c:layout>
              <c:tx>
                <c:rich>
                  <a:bodyPr/>
                  <a:lstStyle/>
                  <a:p>
                    <a:fld id="{690CB032-F96B-4B23-A12F-09B36E4719B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77-4FB0-9F37-13FB91287652}"/>
                </c:ext>
              </c:extLst>
            </c:dLbl>
            <c:dLbl>
              <c:idx val="6"/>
              <c:layout>
                <c:manualLayout>
                  <c:x val="-6.1829020945537036E-2"/>
                  <c:y val="5.04956078503263E-2"/>
                </c:manualLayout>
              </c:layout>
              <c:tx>
                <c:rich>
                  <a:bodyPr/>
                  <a:lstStyle/>
                  <a:p>
                    <a:fld id="{A48D7253-2194-4ABE-A775-7678C2B81FBE}"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077-4FB0-9F37-13FB91287652}"/>
                </c:ext>
              </c:extLst>
            </c:dLbl>
            <c:dLbl>
              <c:idx val="8"/>
              <c:layout>
                <c:manualLayout>
                  <c:x val="-0.1211058219426742"/>
                  <c:y val="-4.9724682539634364E-2"/>
                </c:manualLayout>
              </c:layout>
              <c:tx>
                <c:rich>
                  <a:bodyPr/>
                  <a:lstStyle/>
                  <a:p>
                    <a:fld id="{8C94647B-12A0-45CB-B059-5C1D8CFBC671}"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Progress'!$C$33:$C$39</c:f>
              <c:strCache>
                <c:ptCount val="7"/>
                <c:pt idx="0">
                  <c:v>Economics</c:v>
                </c:pt>
                <c:pt idx="1">
                  <c:v>Derivatives </c:v>
                </c:pt>
                <c:pt idx="2">
                  <c:v>Fixed Income</c:v>
                </c:pt>
                <c:pt idx="3">
                  <c:v>Equity</c:v>
                </c:pt>
                <c:pt idx="4">
                  <c:v>Alt. Invest.</c:v>
                </c:pt>
                <c:pt idx="5">
                  <c:v>Portfolio-1</c:v>
                </c:pt>
                <c:pt idx="6">
                  <c:v>Portfolio-1</c:v>
                </c:pt>
              </c:strCache>
            </c:strRef>
          </c:cat>
          <c:val>
            <c:numRef>
              <c:f>'📊 Progress'!$M$33:$M$39</c:f>
              <c:numCache>
                <c:formatCode>0.0;\-0.0;;@</c:formatCode>
                <c:ptCount val="7"/>
                <c:pt idx="0">
                  <c:v>2.333333333333333</c:v>
                </c:pt>
                <c:pt idx="1">
                  <c:v>2</c:v>
                </c:pt>
                <c:pt idx="2">
                  <c:v>2.5</c:v>
                </c:pt>
                <c:pt idx="3">
                  <c:v>2.5</c:v>
                </c:pt>
                <c:pt idx="4">
                  <c:v>2</c:v>
                </c:pt>
                <c:pt idx="5">
                  <c:v>2.3666666666666663</c:v>
                </c:pt>
                <c:pt idx="6">
                  <c:v>2.3666666666666663</c:v>
                </c:pt>
              </c:numCache>
            </c:numRef>
          </c:val>
          <c:smooth val="0"/>
          <c:extLst>
            <c:ext xmlns:c15="http://schemas.microsoft.com/office/drawing/2012/chart" uri="{02D57815-91ED-43cb-92C2-25804820EDAC}">
              <c15:datalabelsRange>
                <c15:f>'📊 Progress'!$C$33:$C$39</c15:f>
                <c15:dlblRangeCache>
                  <c:ptCount val="7"/>
                  <c:pt idx="0">
                    <c:v>Economics</c:v>
                  </c:pt>
                  <c:pt idx="1">
                    <c:v>Derivatives </c:v>
                  </c:pt>
                  <c:pt idx="2">
                    <c:v>Fixed Income</c:v>
                  </c:pt>
                  <c:pt idx="3">
                    <c:v>Equity</c:v>
                  </c:pt>
                  <c:pt idx="4">
                    <c:v>Alt. Invest.</c:v>
                  </c:pt>
                  <c:pt idx="5">
                    <c:v>Portfolio-1</c:v>
                  </c:pt>
                  <c:pt idx="6">
                    <c:v>Portfolio-1</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02951CBD-D953-437B-A822-1853FAC91C2B}"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0.15312500000000001</c:v>
                </c:pt>
              </c:numCache>
            </c:numRef>
          </c:val>
          <c:extLst>
            <c:ext xmlns:c15="http://schemas.microsoft.com/office/drawing/2012/chart" uri="{02D57815-91ED-43cb-92C2-25804820EDAC}">
              <c15:datalabelsRange>
                <c15:f>Working!$J$4</c15:f>
                <c15:dlblRangeCache>
                  <c:ptCount val="1"/>
                  <c:pt idx="0">
                    <c:v>50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D003BDE0-EF7E-4C08-8F7C-1FDB77A5B1C5}"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0.76249999999999996</c:v>
                </c:pt>
              </c:numCache>
            </c:numRef>
          </c:val>
          <c:extLst>
            <c:ext xmlns:c15="http://schemas.microsoft.com/office/drawing/2012/chart" uri="{02D57815-91ED-43cb-92C2-25804820EDAC}">
              <c15:datalabelsRange>
                <c15:f>Working!$J$5</c15:f>
                <c15:dlblRangeCache>
                  <c:ptCount val="1"/>
                  <c:pt idx="0">
                    <c:v>244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1.5625E-2</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52B6C22D-E636-4C24-B071-67DD55A84ED8}"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6.5625000000000044E-2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06164648-4602-4BF4-AA10-0D2238309B62}"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3.1250000000000002E-3</c:v>
                </c:pt>
              </c:numCache>
            </c:numRef>
          </c:val>
          <c:extLst>
            <c:ext xmlns:c15="http://schemas.microsoft.com/office/drawing/2012/chart" uri="{02D57815-91ED-43cb-92C2-25804820EDAC}">
              <c15:datalabelsRange>
                <c15:f>Working!$K$3</c15:f>
                <c15:dlblRangeCache>
                  <c:ptCount val="1"/>
                  <c:pt idx="0">
                    <c:v>Start 
04-Jan-24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1AE12A2B-2ACC-4966-8F46-D02233C880CC}"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0.15625</c:v>
                </c:pt>
              </c:numCache>
            </c:numRef>
          </c:val>
          <c:extLst>
            <c:ext xmlns:c15="http://schemas.microsoft.com/office/drawing/2012/chart" uri="{02D57815-91ED-43cb-92C2-25804820EDAC}">
              <c15:datalabelsRange>
                <c15:f>Working!$K$4</c15:f>
                <c15:dlblRangeCache>
                  <c:ptCount val="1"/>
                  <c:pt idx="0">
                    <c:v>Today 23-Feb-24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0.91874999999999996</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0.93437499999999996</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19-Nov-24</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9E41D31D-A7F0-43BD-9FF7-C346F7348B4A}"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0C4A1BA2-CCB9-44D7-8B90-E44D1178999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C8E976F6-E286-4866-A6E8-EBE61DB3457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DBAC4E75-F23A-4CC8-8F42-9F1048450BF6}"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0.17006802721088435</c:v>
                </c:pt>
                <c:pt idx="3">
                  <c:v>0.82993197278911568</c:v>
                </c:pt>
              </c:numCache>
            </c:numRef>
          </c:val>
          <c:extLst>
            <c:ext xmlns:c15="http://schemas.microsoft.com/office/drawing/2012/chart" uri="{02D57815-91ED-43cb-92C2-25804820EDAC}">
              <c15:datalabelsRange>
                <c15:f>Working!$E$47:$E$50</c15:f>
                <c15:dlblRangeCache>
                  <c:ptCount val="4"/>
                  <c:pt idx="2">
                    <c:v>Extra Undone, 6</c:v>
                  </c:pt>
                  <c:pt idx="3">
                    <c:v>Undone, 27</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[CFA Level 3 Performance Tracker '24.xlsx]Working!PivotTable1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bg1">
              <a:lumMod val="50000"/>
            </a:schemeClr>
          </a:solidFill>
          <a:ln w="19050">
            <a:solidFill>
              <a:schemeClr val="bg1">
                <a:lumMod val="5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solidFill>
              <a:schemeClr val="bg1">
                <a:lumMod val="50000"/>
              </a:schemeClr>
            </a:solidFill>
            <a:ln>
              <a:solidFill>
                <a:schemeClr val="bg1">
                  <a:lumMod val="50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1-A788-46C7-A814-8CC54CBE3F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33</c:v>
                </c:pt>
              </c:numCache>
            </c:numRef>
          </c:val>
          <c:extLst>
            <c:ext xmlns:c16="http://schemas.microsoft.com/office/drawing/2014/chart" uri="{C3380CC4-5D6E-409C-BE32-E72D297353CC}">
              <c16:uniqueId val="{00000004-0A1A-41B3-9202-01A6715EDC6C}"/>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[CFA Level 3 Performance Tracker '24.xlsx]Working!PivotTable2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6">
              <a:lumMod val="60000"/>
              <a:lumOff val="40000"/>
            </a:schemeClr>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20000"/>
              <a:lumOff val="8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solidFill>
              <a:schemeClr val="accent6">
                <a:lumMod val="60000"/>
                <a:lumOff val="40000"/>
              </a:schemeClr>
            </a:solidFill>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B176-4A20-9617-CB655A3C8C7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33</c:v>
                </c:pt>
              </c:numCache>
            </c:numRef>
          </c:val>
          <c:extLst>
            <c:ext xmlns:c16="http://schemas.microsoft.com/office/drawing/2014/chart" uri="{C3380CC4-5D6E-409C-BE32-E72D297353CC}">
              <c16:uniqueId val="{00000004-86ED-4B67-8BD1-A7E61C798CCB}"/>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[CFA Level 3 Performance Tracker '24.xlsx]Working!PivotTable3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2">
              <a:lumMod val="75000"/>
            </a:schemeClr>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2">
              <a:lumMod val="40000"/>
              <a:lumOff val="60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solidFill>
              <a:schemeClr val="accent2">
                <a:lumMod val="75000"/>
              </a:schemeClr>
            </a:solidFill>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07CA-4126-8CD0-8DCC424EA3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33</c:v>
                </c:pt>
              </c:numCache>
            </c:numRef>
          </c:val>
          <c:extLst>
            <c:ext xmlns:c16="http://schemas.microsoft.com/office/drawing/2014/chart" uri="{C3380CC4-5D6E-409C-BE32-E72D297353CC}">
              <c16:uniqueId val="{00000004-D10E-44F7-BA5B-CA888FB274C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3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+91 98317 79737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17</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18932</xdr:rowOff>
    </xdr:from>
    <xdr:to>
      <xdr:col>5</xdr:col>
      <xdr:colOff>19050</xdr:colOff>
      <xdr:row>46</xdr:row>
      <xdr:rowOff>152401</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iddhi Mukim" refreshedDate="45345.570194328706" createdVersion="7" refreshedVersion="8" minRefreshableVersion="3" recordCount="32" xr:uid="{FC0E6DB8-2D29-449C-9177-1A77E9689797}">
  <cacheSource type="worksheet">
    <worksheetSource name="Master_Data"/>
  </cacheSource>
  <cacheFields count="37">
    <cacheField name="Order of Study" numFmtId="3">
      <sharedItems containsSemiMixedTypes="0" containsString="0" containsNumber="1" minValue="1.1000000000000001" maxValue="32.1"/>
    </cacheField>
    <cacheField name="Schedule" numFmtId="3">
      <sharedItems/>
    </cacheField>
    <cacheField name="Column1" numFmtId="3">
      <sharedItems containsSemiMixedTypes="0" containsString="0" containsNumber="1" containsInteger="1" minValue="3" maxValue="35"/>
    </cacheField>
    <cacheField name="Column2" numFmtId="3">
      <sharedItems containsMixedTypes="1" containsNumber="1" containsInteger="1" minValue="4" maxValue="35"/>
    </cacheField>
    <cacheField name="Cum. Undone hrs" numFmtId="169">
      <sharedItems containsSemiMixedTypes="0" containsNonDate="0" containsDate="1" containsString="0" minDate="1899-12-30T11:28:00" maxDate="1900-01-06T06:43:00"/>
    </cacheField>
    <cacheField name="Undone hrs" numFmtId="20">
      <sharedItems containsSemiMixedTypes="0" containsNonDate="0" containsDate="1" containsString="0" minDate="1899-12-30T00:51:00" maxDate="1899-12-30T11:28:00"/>
    </cacheField>
    <cacheField name="Subject" numFmtId="0">
      <sharedItems count="15">
        <s v="Derivatives "/>
        <s v="Economics"/>
        <s v="Portfolio-2"/>
        <s v="Fixed Income"/>
        <s v="Portfolio-1"/>
        <s v="Ethics"/>
        <s v="Equity"/>
        <s v="Alt. Invest."/>
        <s v="Derivatives" u="1"/>
        <s v="Portfolio" u="1"/>
        <s v="FRA" u="1"/>
        <s v="Quants" u="1"/>
        <s v="Corp. Issuers" u="1"/>
        <s v="Alt. Investments" u="1"/>
        <s v="Corporate Issuers" u="1"/>
      </sharedItems>
    </cacheField>
    <cacheField name="Reading" numFmtId="0">
      <sharedItems containsMixedTypes="1" containsNumber="1" containsInteger="1" minValue="1" maxValue="33"/>
    </cacheField>
    <cacheField name="Changes" numFmtId="0">
      <sharedItems/>
    </cacheField>
    <cacheField name="Topic" numFmtId="0">
      <sharedItems/>
    </cacheField>
    <cacheField name="No. of Chapters" numFmtId="0">
      <sharedItems containsSemiMixedTypes="0" containsString="0" containsNumber="1" containsInteger="1" minValue="1" maxValue="2"/>
    </cacheField>
    <cacheField name="No. of LOS" numFmtId="0">
      <sharedItems containsMixedTypes="1" containsNumber="1" containsInteger="1" minValue="2" maxValue="16"/>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3" maxValue="5"/>
    </cacheField>
    <cacheField name="Imp. Level" numFmtId="0">
      <sharedItems containsSemiMixedTypes="0" containsString="0" containsNumber="1" containsInteger="1" minValue="3" maxValue="5"/>
    </cacheField>
    <cacheField name="Reqd. Prac." numFmtId="0">
      <sharedItems containsSemiMixedTypes="0" containsString="0" containsNumber="1" containsInteger="1" minValue="3" maxValue="5"/>
    </cacheField>
    <cacheField name="Duration (hh:mm)" numFmtId="20">
      <sharedItems containsSemiMixedTypes="0" containsNonDate="0" containsDate="1" containsString="0" minDate="1899-12-30T00:51:00" maxDate="1899-12-30T11:28:00" count="32">
        <d v="1899-12-30T11:28:00"/>
        <d v="1899-12-30T09:57:00"/>
        <d v="1899-12-30T06:21:00"/>
        <d v="1899-12-30T04:09:00"/>
        <d v="1899-12-30T02:51:00"/>
        <d v="1899-12-30T02:21:00"/>
        <d v="1899-12-30T05:12:00"/>
        <d v="1899-12-30T07:07:00"/>
        <d v="1899-12-30T05:35:00"/>
        <d v="1899-12-30T08:50:00"/>
        <d v="1899-12-30T05:29:00"/>
        <d v="1899-12-30T09:48:00"/>
        <d v="1899-12-30T05:27:00"/>
        <d v="1899-12-30T05:08:00"/>
        <d v="1899-12-30T01:04:00"/>
        <d v="1899-12-30T00:51:00"/>
        <d v="1899-12-30T07:36:00"/>
        <d v="1899-12-30T02:15:00"/>
        <d v="1899-12-30T03:05:00"/>
        <d v="1899-12-30T04:58:00"/>
        <d v="1899-12-30T06:00:00"/>
        <d v="1899-12-30T06:33:00"/>
        <d v="1899-12-30T04:12:00"/>
        <d v="1899-12-30T02:44:00"/>
        <d v="1899-12-30T03:16:00"/>
        <d v="1899-12-30T06:50:00"/>
        <d v="1899-12-30T05:54:00"/>
        <d v="1899-12-30T07:28:00"/>
        <d v="1899-12-30T03:40:00"/>
        <d v="1899-12-30T05:59:00"/>
        <d v="1899-12-30T07:55:00"/>
        <d v="1899-12-30T04:40:00"/>
      </sharedItems>
      <fieldGroup par="36" base="18">
        <rangePr groupBy="seconds" startDate="1899-12-30T00:51:00" endDate="1899-12-30T11:28: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6.5630067728703629" maxValue="100"/>
    </cacheField>
    <cacheField name="Lectures" numFmtId="17">
      <sharedItems count="2">
        <s v="U"/>
        <s v="D" u="1"/>
      </sharedItems>
    </cacheField>
    <cacheField name="Self Study" numFmtId="17">
      <sharedItems count="2">
        <s v="U"/>
        <s v="D" u="1"/>
      </sharedItems>
    </cacheField>
    <cacheField name="Inst. EOC Ques." numFmtId="17">
      <sharedItems/>
    </cacheField>
    <cacheField name="Prac. Book" numFmtId="17">
      <sharedItems/>
    </cacheField>
    <cacheField name="Revision" numFmtId="17">
      <sharedItems count="2">
        <s v="U"/>
        <s v="D" u="1"/>
      </sharedItems>
    </cacheField>
    <cacheField name="Inst. Online Portal" numFmtId="17">
      <sharedItems/>
    </cacheField>
    <cacheField name="Schweser Prac. Bk 1" numFmtId="17">
      <sharedItems/>
    </cacheField>
    <cacheField name="Schweser Prac. Bk 2" numFmtId="17">
      <sharedItems/>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2.3255813953488372E-2" maxValue="3.875968992248062E-2"/>
    </cacheField>
    <cacheField name="Subjectwise weights" numFmtId="9">
      <sharedItems containsSemiMixedTypes="0" containsString="0" containsNumber="1" minValue="0.1" maxValue="0.55555555555555558"/>
    </cacheField>
    <cacheField name="Subjectwise weighted average" numFmtId="4">
      <sharedItems containsSemiMixedTypes="0" containsString="0" containsNumber="1" minValue="0.26666666666666666" maxValue="1.1111111111111112"/>
    </cacheField>
    <cacheField name="Practice" numFmtId="0">
      <sharedItems count="2">
        <s v="U"/>
        <s v="D" u="1"/>
      </sharedItems>
    </cacheField>
    <cacheField name="Extra Practice" numFmtId="0">
      <sharedItems count="3">
        <s v="U"/>
        <s v="D" u="1"/>
        <e v="#REF!" u="1"/>
      </sharedItems>
    </cacheField>
    <cacheField name="Minutes" numFmtId="0" databaseField="0">
      <fieldGroup base="18">
        <rangePr groupBy="minutes" startDate="1899-12-30T00:51:00" endDate="1899-12-30T11:28: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51:00" endDate="1899-12-30T11:28: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n v="1.1000000000000001"/>
    <s v="Current Week"/>
    <n v="3"/>
    <e v="#VALUE!"/>
    <d v="1899-12-30T11:28:00"/>
    <d v="1899-12-30T11:28:00"/>
    <x v="0"/>
    <n v="6"/>
    <s v="Same"/>
    <s v="Options Strategies"/>
    <n v="1"/>
    <n v="10"/>
    <n v="4"/>
    <n v="5"/>
    <n v="4"/>
    <n v="4"/>
    <n v="5"/>
    <n v="4"/>
    <x v="0"/>
    <n v="6.5630067728703629"/>
    <x v="0"/>
    <x v="0"/>
    <s v="U"/>
    <s v="U"/>
    <x v="0"/>
    <s v="U"/>
    <s v="U"/>
    <s v="U"/>
    <n v="2"/>
    <m/>
    <n v="3.875968992248062E-2"/>
    <n v="0.55555555555555558"/>
    <n v="1.1111111111111112"/>
    <x v="0"/>
    <x v="0"/>
  </r>
  <r>
    <n v="2.1"/>
    <s v="Week 5"/>
    <n v="5"/>
    <n v="4"/>
    <d v="1899-12-30T21:25:00"/>
    <d v="1899-12-30T09:57:00"/>
    <x v="0"/>
    <n v="7"/>
    <s v="Same"/>
    <s v="Swaps, Forwards, and Futures Strategies"/>
    <n v="1"/>
    <n v="6"/>
    <n v="3"/>
    <n v="5"/>
    <n v="4"/>
    <n v="5"/>
    <n v="4"/>
    <n v="5"/>
    <x v="1"/>
    <n v="12.257941428980255"/>
    <x v="0"/>
    <x v="0"/>
    <s v="U"/>
    <s v="U"/>
    <x v="0"/>
    <s v="U"/>
    <s v="U"/>
    <s v="U"/>
    <n v="2"/>
    <m/>
    <n v="3.1007751937984496E-2"/>
    <n v="0.44444444444444442"/>
    <n v="0.88888888888888884"/>
    <x v="0"/>
    <x v="0"/>
  </r>
  <r>
    <n v="3.1"/>
    <s v="Week 6"/>
    <n v="6"/>
    <n v="6"/>
    <d v="1899-12-31T03:46:00"/>
    <d v="1899-12-30T06:21:00"/>
    <x v="1"/>
    <n v="8"/>
    <s v="Same"/>
    <s v="Currency Management-An Introduction"/>
    <n v="1"/>
    <n v="9"/>
    <n v="5"/>
    <n v="4"/>
    <n v="4"/>
    <n v="4"/>
    <n v="4"/>
    <n v="4"/>
    <x v="2"/>
    <n v="15.892397214537826"/>
    <x v="0"/>
    <x v="0"/>
    <s v="U"/>
    <s v="U"/>
    <x v="0"/>
    <s v="U"/>
    <s v="U"/>
    <s v="U"/>
    <n v="2"/>
    <m/>
    <n v="3.1007751937984496E-2"/>
    <n v="0.33333333333333331"/>
    <n v="0.66666666666666663"/>
    <x v="0"/>
    <x v="0"/>
  </r>
  <r>
    <n v="4.0999999999999996"/>
    <s v="Week 7"/>
    <n v="7"/>
    <n v="7"/>
    <d v="1899-12-31T07:55:00"/>
    <d v="1899-12-30T04:09:00"/>
    <x v="2"/>
    <n v="3"/>
    <s v="Same"/>
    <s v="Overview of Asset Allocation"/>
    <n v="1"/>
    <n v="10"/>
    <n v="2"/>
    <n v="1"/>
    <n v="2"/>
    <n v="3"/>
    <n v="3"/>
    <n v="3"/>
    <x v="3"/>
    <n v="18.267671468091194"/>
    <x v="0"/>
    <x v="0"/>
    <s v="U"/>
    <s v="U"/>
    <x v="0"/>
    <s v="U"/>
    <s v="U"/>
    <s v="U"/>
    <n v="3"/>
    <m/>
    <n v="2.3255813953488372E-2"/>
    <n v="0.14285714285714285"/>
    <n v="0.42857142857142855"/>
    <x v="0"/>
    <x v="0"/>
  </r>
  <r>
    <n v="5.0999999999999996"/>
    <s v="Week 7"/>
    <n v="7"/>
    <n v="7"/>
    <d v="1899-12-31T10:46:00"/>
    <d v="1899-12-30T02:51:00"/>
    <x v="2"/>
    <n v="4"/>
    <s v="Changes"/>
    <s v="Principles of Asset Allocation"/>
    <n v="1"/>
    <n v="15"/>
    <n v="2"/>
    <n v="2"/>
    <n v="3"/>
    <n v="3"/>
    <n v="3"/>
    <n v="4"/>
    <x v="4"/>
    <n v="19.898883907278449"/>
    <x v="0"/>
    <x v="0"/>
    <s v="U"/>
    <s v="U"/>
    <x v="0"/>
    <s v="U"/>
    <s v="U"/>
    <s v="U"/>
    <n v="2"/>
    <m/>
    <n v="2.3255813953488372E-2"/>
    <n v="0.14285714285714285"/>
    <n v="0.2857142857142857"/>
    <x v="0"/>
    <x v="0"/>
  </r>
  <r>
    <n v="6.1"/>
    <s v="Week 8"/>
    <n v="8"/>
    <n v="8"/>
    <d v="1899-12-31T13:07:00"/>
    <d v="1899-12-30T02:21:00"/>
    <x v="2"/>
    <n v="5"/>
    <s v="Same"/>
    <s v="Asset Allocation with Real-World Constraints"/>
    <n v="1"/>
    <n v="5"/>
    <n v="2"/>
    <n v="2"/>
    <n v="3"/>
    <n v="3"/>
    <n v="3"/>
    <n v="4"/>
    <x v="5"/>
    <n v="21.243918725555659"/>
    <x v="0"/>
    <x v="0"/>
    <s v="U"/>
    <s v="U"/>
    <x v="0"/>
    <s v="U"/>
    <s v="U"/>
    <s v="U"/>
    <n v="2"/>
    <m/>
    <n v="2.3255813953488372E-2"/>
    <n v="0.14285714285714285"/>
    <n v="0.2857142857142857"/>
    <x v="0"/>
    <x v="0"/>
  </r>
  <r>
    <n v="7.1"/>
    <s v="Week 9"/>
    <n v="9"/>
    <n v="9"/>
    <d v="1899-12-31T18:19:00"/>
    <d v="1899-12-30T05:12:00"/>
    <x v="3"/>
    <n v="9"/>
    <s v="Same"/>
    <s v="Overview of Fixed-Income Portfolio Management"/>
    <n v="1"/>
    <n v="6"/>
    <n v="4"/>
    <n v="2"/>
    <n v="4"/>
    <n v="4"/>
    <n v="4"/>
    <n v="4"/>
    <x v="6"/>
    <n v="24.220165983020124"/>
    <x v="0"/>
    <x v="0"/>
    <s v="U"/>
    <s v="U"/>
    <x v="0"/>
    <s v="U"/>
    <s v="U"/>
    <s v="U"/>
    <n v="2"/>
    <m/>
    <n v="3.1007751937984496E-2"/>
    <n v="0.22222222222222221"/>
    <n v="0.44444444444444442"/>
    <x v="0"/>
    <x v="0"/>
  </r>
  <r>
    <n v="8.1"/>
    <s v="Week 10"/>
    <n v="10"/>
    <n v="10"/>
    <d v="1900-01-01T01:26:00"/>
    <d v="1899-12-30T07:07:00"/>
    <x v="3"/>
    <n v="10"/>
    <s v="Same"/>
    <s v="Liability-Driven and Index-Based Strategies"/>
    <n v="1"/>
    <n v="9"/>
    <n v="5"/>
    <n v="3"/>
    <n v="5"/>
    <n v="5"/>
    <n v="5"/>
    <n v="5"/>
    <x v="7"/>
    <n v="28.293427453973102"/>
    <x v="0"/>
    <x v="0"/>
    <s v="U"/>
    <s v="U"/>
    <x v="0"/>
    <s v="U"/>
    <s v="U"/>
    <s v="U"/>
    <n v="3"/>
    <m/>
    <n v="3.875968992248062E-2"/>
    <n v="0.27777777777777779"/>
    <n v="0.83333333333333337"/>
    <x v="0"/>
    <x v="0"/>
  </r>
  <r>
    <n v="9.1"/>
    <s v="Week 11"/>
    <n v="11"/>
    <n v="11"/>
    <d v="1900-01-01T07:01:00"/>
    <d v="1899-12-30T05:35:00"/>
    <x v="3"/>
    <n v="11"/>
    <s v="Same"/>
    <s v="Yield Curve Strategies"/>
    <n v="1"/>
    <n v="7"/>
    <n v="4"/>
    <n v="3"/>
    <n v="5"/>
    <n v="5"/>
    <n v="5"/>
    <n v="5"/>
    <x v="8"/>
    <n v="31.489077554135271"/>
    <x v="0"/>
    <x v="0"/>
    <s v="U"/>
    <s v="U"/>
    <x v="0"/>
    <s v="U"/>
    <s v="U"/>
    <s v="U"/>
    <n v="2"/>
    <m/>
    <n v="3.875968992248062E-2"/>
    <n v="0.27777777777777779"/>
    <n v="0.55555555555555558"/>
    <x v="0"/>
    <x v="0"/>
  </r>
  <r>
    <n v="10.1"/>
    <s v="Week 13"/>
    <n v="13"/>
    <n v="12"/>
    <d v="1900-01-01T15:51:00"/>
    <d v="1899-12-30T08:50:00"/>
    <x v="3"/>
    <n v="12"/>
    <s v="Same"/>
    <s v="Fixed-Income Active Management-Credit Strategies"/>
    <n v="1"/>
    <n v="11"/>
    <n v="3"/>
    <n v="2"/>
    <n v="4"/>
    <n v="4"/>
    <n v="4"/>
    <n v="4"/>
    <x v="9"/>
    <n v="36.544882190212725"/>
    <x v="0"/>
    <x v="0"/>
    <s v="U"/>
    <s v="U"/>
    <x v="0"/>
    <s v="U"/>
    <s v="U"/>
    <s v="U"/>
    <n v="3"/>
    <m/>
    <n v="3.1007751937984496E-2"/>
    <n v="0.22222222222222221"/>
    <n v="0.66666666666666663"/>
    <x v="0"/>
    <x v="0"/>
  </r>
  <r>
    <n v="11.1"/>
    <s v="Week 14"/>
    <n v="14"/>
    <n v="14"/>
    <d v="1900-01-01T21:20:00"/>
    <d v="1899-12-30T05:29:00"/>
    <x v="4"/>
    <n v="19"/>
    <s v="Same"/>
    <s v="Overview of Private Wealth Management"/>
    <n v="1"/>
    <n v="16"/>
    <n v="3"/>
    <n v="2"/>
    <n v="3"/>
    <n v="4"/>
    <n v="5"/>
    <n v="5"/>
    <x v="10"/>
    <n v="39.683296766192882"/>
    <x v="0"/>
    <x v="0"/>
    <s v="U"/>
    <s v="U"/>
    <x v="0"/>
    <s v="U"/>
    <s v="U"/>
    <s v="U"/>
    <n v="2"/>
    <m/>
    <n v="3.875968992248062E-2"/>
    <n v="0.16666666666666666"/>
    <n v="0.33333333333333331"/>
    <x v="0"/>
    <x v="0"/>
  </r>
  <r>
    <n v="12.1"/>
    <s v="Week 16"/>
    <n v="16"/>
    <n v="15"/>
    <d v="1900-01-02T07:08:00"/>
    <d v="1899-12-30T09:48:00"/>
    <x v="4"/>
    <n v="20"/>
    <s v="Same"/>
    <s v="Topics in Private Wealth Management"/>
    <n v="1"/>
    <n v="11"/>
    <n v="5"/>
    <n v="3"/>
    <n v="4"/>
    <n v="4"/>
    <n v="5"/>
    <n v="5"/>
    <x v="11"/>
    <n v="45.292378136029761"/>
    <x v="0"/>
    <x v="0"/>
    <s v="U"/>
    <s v="U"/>
    <x v="0"/>
    <s v="U"/>
    <s v="U"/>
    <s v="U"/>
    <n v="2"/>
    <m/>
    <n v="3.875968992248062E-2"/>
    <n v="0.16666666666666666"/>
    <n v="0.33333333333333331"/>
    <x v="0"/>
    <x v="0"/>
  </r>
  <r>
    <n v="13.1"/>
    <s v="Week 17"/>
    <n v="17"/>
    <n v="17"/>
    <d v="1900-01-02T12:35:00"/>
    <d v="1899-12-30T05:27:00"/>
    <x v="4"/>
    <n v="21"/>
    <s v="Same"/>
    <s v="Risk Management for Individuals"/>
    <n v="1"/>
    <n v="10"/>
    <n v="3"/>
    <n v="2"/>
    <n v="3"/>
    <n v="4"/>
    <n v="4"/>
    <n v="4"/>
    <x v="12"/>
    <n v="48.411714203949252"/>
    <x v="0"/>
    <x v="0"/>
    <s v="U"/>
    <s v="U"/>
    <x v="0"/>
    <s v="U"/>
    <s v="U"/>
    <s v="U"/>
    <n v="3"/>
    <m/>
    <n v="3.1007751937984496E-2"/>
    <n v="0.13333333333333333"/>
    <n v="0.4"/>
    <x v="0"/>
    <x v="0"/>
  </r>
  <r>
    <n v="14.1"/>
    <s v="Week 18"/>
    <n v="18"/>
    <n v="18"/>
    <d v="1900-01-02T17:43:00"/>
    <d v="1899-12-30T05:08:00"/>
    <x v="5"/>
    <s v="29_x000a_30"/>
    <s v="Same"/>
    <s v="Code of Ethics and Standards of Professional Conduct_x000a_Guidance for Standards I–VII"/>
    <n v="2"/>
    <s v="2+2"/>
    <n v="3"/>
    <n v="1"/>
    <n v="2"/>
    <n v="5"/>
    <n v="5"/>
    <n v="5"/>
    <x v="13"/>
    <n v="51.349804445292378"/>
    <x v="0"/>
    <x v="0"/>
    <s v="U"/>
    <s v="U"/>
    <x v="0"/>
    <s v="U"/>
    <s v="U"/>
    <s v="U"/>
    <n v="2"/>
    <m/>
    <n v="3.875968992248062E-2"/>
    <n v="0.29411764705882354"/>
    <n v="0.58823529411764708"/>
    <x v="0"/>
    <x v="0"/>
  </r>
  <r>
    <n v="15.1"/>
    <s v="Week 19"/>
    <n v="19"/>
    <n v="19"/>
    <d v="1900-01-02T18:47:00"/>
    <d v="1899-12-30T01:04:00"/>
    <x v="5"/>
    <n v="31"/>
    <s v="Same"/>
    <s v="Application of the Code and Standards-Level III"/>
    <n v="1"/>
    <n v="2"/>
    <n v="1"/>
    <n v="1"/>
    <n v="1"/>
    <n v="4"/>
    <n v="4"/>
    <n v="4"/>
    <x v="14"/>
    <n v="51.960316703233808"/>
    <x v="0"/>
    <x v="0"/>
    <s v="U"/>
    <s v="U"/>
    <x v="0"/>
    <s v="U"/>
    <s v="U"/>
    <s v="U"/>
    <n v="3"/>
    <m/>
    <n v="3.1007751937984496E-2"/>
    <n v="0.23529411764705882"/>
    <n v="0.70588235294117641"/>
    <x v="0"/>
    <x v="0"/>
  </r>
  <r>
    <n v="16.100000000000001"/>
    <s v="Week 19"/>
    <n v="19"/>
    <n v="19"/>
    <d v="1900-01-02T19:38:00"/>
    <d v="1899-12-30T00:51:00"/>
    <x v="5"/>
    <n v="32"/>
    <s v="Same"/>
    <s v="Asset Manager Code of Professional Conduct"/>
    <n v="1"/>
    <n v="4"/>
    <n v="1"/>
    <n v="1"/>
    <n v="1"/>
    <n v="4"/>
    <n v="4"/>
    <n v="4"/>
    <x v="15"/>
    <n v="52.446818658780877"/>
    <x v="0"/>
    <x v="0"/>
    <s v="U"/>
    <s v="U"/>
    <x v="0"/>
    <s v="U"/>
    <s v="U"/>
    <s v="U"/>
    <n v="2"/>
    <m/>
    <n v="3.1007751937984496E-2"/>
    <n v="0.23529411764705882"/>
    <n v="0.47058823529411764"/>
    <x v="0"/>
    <x v="0"/>
  </r>
  <r>
    <n v="17.100000000000001"/>
    <s v="Week 20"/>
    <n v="20"/>
    <n v="20"/>
    <d v="1900-01-03T03:14:00"/>
    <d v="1899-12-30T07:36:00"/>
    <x v="4"/>
    <n v="22"/>
    <s v="Same"/>
    <s v="Portfolio Management for Institutional Investors"/>
    <n v="1"/>
    <n v="8"/>
    <n v="5"/>
    <n v="2"/>
    <n v="3"/>
    <n v="3"/>
    <n v="5"/>
    <n v="5"/>
    <x v="16"/>
    <n v="56.796718496613565"/>
    <x v="0"/>
    <x v="0"/>
    <s v="U"/>
    <s v="U"/>
    <x v="0"/>
    <s v="U"/>
    <s v="U"/>
    <s v="U"/>
    <n v="2"/>
    <m/>
    <n v="3.875968992248062E-2"/>
    <n v="0.16666666666666666"/>
    <n v="0.33333333333333331"/>
    <x v="0"/>
    <x v="0"/>
  </r>
  <r>
    <n v="18.100000000000001"/>
    <s v="Week 21"/>
    <n v="21"/>
    <n v="21"/>
    <d v="1900-01-03T05:29:00"/>
    <d v="1899-12-30T02:15:00"/>
    <x v="6"/>
    <n v="13"/>
    <s v="Same"/>
    <s v="Overview of Equity Portfolio Management"/>
    <n v="1"/>
    <n v="5"/>
    <n v="2"/>
    <n v="1"/>
    <n v="2"/>
    <n v="3"/>
    <n v="3"/>
    <n v="3"/>
    <x v="17"/>
    <n v="58.084517790708766"/>
    <x v="0"/>
    <x v="0"/>
    <s v="U"/>
    <s v="U"/>
    <x v="0"/>
    <s v="U"/>
    <s v="U"/>
    <s v="U"/>
    <n v="2"/>
    <m/>
    <n v="2.3255813953488372E-2"/>
    <n v="0.21428571428571427"/>
    <n v="0.42857142857142855"/>
    <x v="0"/>
    <x v="0"/>
  </r>
  <r>
    <n v="19.100000000000001"/>
    <s v="Week 21"/>
    <n v="21"/>
    <n v="21"/>
    <d v="1900-01-03T08:34:00"/>
    <d v="1899-12-30T03:05:00"/>
    <x v="6"/>
    <n v="14"/>
    <s v="Same"/>
    <s v="Passive Equity Investing"/>
    <n v="1"/>
    <n v="6"/>
    <n v="2"/>
    <n v="1"/>
    <n v="2"/>
    <n v="3"/>
    <n v="3"/>
    <n v="4"/>
    <x v="18"/>
    <n v="59.849279786320707"/>
    <x v="0"/>
    <x v="0"/>
    <s v="U"/>
    <s v="U"/>
    <x v="0"/>
    <s v="U"/>
    <s v="U"/>
    <s v="U"/>
    <n v="3"/>
    <m/>
    <n v="2.3255813953488372E-2"/>
    <n v="0.21428571428571427"/>
    <n v="0.64285714285714279"/>
    <x v="0"/>
    <x v="0"/>
  </r>
  <r>
    <n v="20.100000000000001"/>
    <s v="Week 22"/>
    <n v="22"/>
    <n v="22"/>
    <d v="1900-01-03T13:32:00"/>
    <d v="1899-12-30T04:58:00"/>
    <x v="6"/>
    <n v="15"/>
    <s v="Same"/>
    <s v="Active Equity Investing-Strategies"/>
    <n v="1"/>
    <n v="9"/>
    <n v="3"/>
    <n v="1"/>
    <n v="3"/>
    <n v="3"/>
    <n v="4"/>
    <n v="4"/>
    <x v="19"/>
    <n v="62.691977487360496"/>
    <x v="0"/>
    <x v="0"/>
    <s v="U"/>
    <s v="U"/>
    <x v="0"/>
    <s v="U"/>
    <s v="U"/>
    <s v="U"/>
    <n v="3"/>
    <m/>
    <n v="3.1007751937984496E-2"/>
    <n v="0.2857142857142857"/>
    <n v="0.8571428571428571"/>
    <x v="0"/>
    <x v="0"/>
  </r>
  <r>
    <n v="21.1"/>
    <s v="Week 24"/>
    <n v="24"/>
    <n v="23"/>
    <d v="1900-01-03T19:32:00"/>
    <d v="1899-12-30T06:00:00"/>
    <x v="6"/>
    <n v="16"/>
    <s v="Same"/>
    <s v="Active Equity Investing-Portfolio Construction"/>
    <n v="1"/>
    <n v="8"/>
    <n v="4"/>
    <n v="2"/>
    <n v="3"/>
    <n v="4"/>
    <n v="4"/>
    <n v="5"/>
    <x v="20"/>
    <n v="66.126108938281035"/>
    <x v="0"/>
    <x v="0"/>
    <s v="U"/>
    <s v="U"/>
    <x v="0"/>
    <s v="U"/>
    <s v="U"/>
    <s v="U"/>
    <n v="2"/>
    <m/>
    <n v="3.1007751937984496E-2"/>
    <n v="0.2857142857142857"/>
    <n v="0.5714285714285714"/>
    <x v="0"/>
    <x v="0"/>
  </r>
  <r>
    <n v="22.1"/>
    <s v="Week 25"/>
    <n v="25"/>
    <n v="25"/>
    <d v="1900-01-04T02:05:00"/>
    <d v="1899-12-30T06:33:00"/>
    <x v="7"/>
    <n v="17"/>
    <s v="Same"/>
    <s v="Hedge Fund Strategies"/>
    <n v="1"/>
    <n v="9"/>
    <n v="4"/>
    <n v="1"/>
    <n v="3"/>
    <n v="4"/>
    <n v="4"/>
    <n v="5"/>
    <x v="21"/>
    <n v="69.875035772202608"/>
    <x v="0"/>
    <x v="0"/>
    <s v="U"/>
    <s v="U"/>
    <x v="0"/>
    <s v="U"/>
    <s v="U"/>
    <s v="U"/>
    <n v="2"/>
    <m/>
    <n v="3.1007751937984496E-2"/>
    <n v="0.5"/>
    <n v="1"/>
    <x v="0"/>
    <x v="0"/>
  </r>
  <r>
    <n v="23.1"/>
    <s v="Week 26"/>
    <n v="26"/>
    <n v="26"/>
    <d v="1900-01-04T06:17:00"/>
    <d v="1899-12-30T04:12:00"/>
    <x v="7"/>
    <n v="18"/>
    <s v="Same"/>
    <s v="Asset Allocation to Alternative Investments"/>
    <n v="1"/>
    <n v="8"/>
    <n v="3"/>
    <n v="1"/>
    <n v="3"/>
    <n v="3"/>
    <n v="4"/>
    <n v="5"/>
    <x v="22"/>
    <n v="72.278927787846996"/>
    <x v="0"/>
    <x v="0"/>
    <s v="U"/>
    <s v="U"/>
    <x v="0"/>
    <s v="U"/>
    <s v="U"/>
    <s v="U"/>
    <n v="2"/>
    <m/>
    <n v="3.1007751937984496E-2"/>
    <n v="0.5"/>
    <n v="1"/>
    <x v="0"/>
    <x v="0"/>
  </r>
  <r>
    <n v="24.1"/>
    <s v="Week 26"/>
    <n v="26"/>
    <n v="26"/>
    <d v="1900-01-04T09:01:00"/>
    <d v="1899-12-30T02:44:00"/>
    <x v="4"/>
    <n v="26"/>
    <s v="Changes"/>
    <s v="Case Study in Portfolio Management-Institutional"/>
    <n v="1"/>
    <n v="7"/>
    <n v="2"/>
    <n v="1"/>
    <n v="2"/>
    <n v="3"/>
    <n v="4"/>
    <n v="5"/>
    <x v="23"/>
    <n v="73.843365448821899"/>
    <x v="0"/>
    <x v="0"/>
    <s v="U"/>
    <s v="U"/>
    <x v="0"/>
    <s v="U"/>
    <s v="U"/>
    <s v="U"/>
    <n v="3"/>
    <m/>
    <n v="3.1007751937984496E-2"/>
    <n v="0.13333333333333333"/>
    <n v="0.4"/>
    <x v="0"/>
    <x v="0"/>
  </r>
  <r>
    <n v="25.1"/>
    <s v="Week 27"/>
    <n v="27"/>
    <n v="27"/>
    <d v="1900-01-04T12:17:00"/>
    <d v="1899-12-30T03:16:00"/>
    <x v="4"/>
    <n v="27"/>
    <s v="Same"/>
    <s v="Case Study in Risk Management-Private Wealth"/>
    <n v="1"/>
    <n v="8"/>
    <n v="2"/>
    <n v="1"/>
    <n v="2"/>
    <n v="3"/>
    <n v="4"/>
    <n v="5"/>
    <x v="24"/>
    <n v="75.713059238767528"/>
    <x v="0"/>
    <x v="0"/>
    <s v="U"/>
    <s v="U"/>
    <x v="0"/>
    <s v="U"/>
    <s v="U"/>
    <s v="U"/>
    <n v="2"/>
    <m/>
    <n v="3.1007751937984496E-2"/>
    <n v="0.13333333333333333"/>
    <n v="0.26666666666666666"/>
    <x v="0"/>
    <x v="0"/>
  </r>
  <r>
    <n v="26.1"/>
    <s v="Week 28"/>
    <n v="28"/>
    <n v="28"/>
    <d v="1900-01-04T19:07:00"/>
    <d v="1899-12-30T06:50:00"/>
    <x v="4"/>
    <n v="28"/>
    <s v="Same"/>
    <s v="Case Study in Risk Management-Institutional"/>
    <n v="1"/>
    <n v="5"/>
    <n v="3"/>
    <n v="2"/>
    <n v="3"/>
    <n v="4"/>
    <n v="3"/>
    <n v="4"/>
    <x v="25"/>
    <n v="79.624153391204814"/>
    <x v="0"/>
    <x v="0"/>
    <s v="U"/>
    <s v="U"/>
    <x v="0"/>
    <s v="U"/>
    <s v="U"/>
    <s v="U"/>
    <n v="3"/>
    <m/>
    <n v="2.3255813953488372E-2"/>
    <n v="0.1"/>
    <n v="0.30000000000000004"/>
    <x v="0"/>
    <x v="0"/>
  </r>
  <r>
    <n v="27.1"/>
    <s v="Week 29"/>
    <n v="29"/>
    <n v="29"/>
    <d v="1900-01-05T01:01:00"/>
    <d v="1899-12-30T05:54:00"/>
    <x v="2"/>
    <n v="23"/>
    <s v="Same"/>
    <s v="Trade Strategy and Execution"/>
    <n v="1"/>
    <n v="9"/>
    <n v="4"/>
    <n v="3"/>
    <n v="4"/>
    <n v="4"/>
    <n v="4"/>
    <n v="4"/>
    <x v="26"/>
    <n v="83.001049317943341"/>
    <x v="0"/>
    <x v="0"/>
    <s v="U"/>
    <s v="U"/>
    <x v="0"/>
    <s v="U"/>
    <s v="U"/>
    <s v="U"/>
    <n v="3"/>
    <m/>
    <n v="3.1007751937984496E-2"/>
    <n v="0.19047619047619047"/>
    <n v="0.5714285714285714"/>
    <x v="0"/>
    <x v="0"/>
  </r>
  <r>
    <n v="28.1"/>
    <s v="Week 31"/>
    <n v="31"/>
    <n v="30"/>
    <d v="1900-01-05T08:29:00"/>
    <d v="1899-12-30T07:28:00"/>
    <x v="2"/>
    <n v="24"/>
    <s v="Same"/>
    <s v="Portfolio Performance Evaluation"/>
    <n v="1"/>
    <n v="16"/>
    <n v="4"/>
    <n v="3"/>
    <n v="4"/>
    <n v="4"/>
    <n v="5"/>
    <n v="4"/>
    <x v="27"/>
    <n v="87.274635123533344"/>
    <x v="0"/>
    <x v="0"/>
    <s v="U"/>
    <s v="U"/>
    <x v="0"/>
    <s v="U"/>
    <s v="U"/>
    <s v="U"/>
    <n v="3"/>
    <m/>
    <n v="3.875968992248062E-2"/>
    <n v="0.23809523809523808"/>
    <n v="0.71428571428571419"/>
    <x v="0"/>
    <x v="0"/>
  </r>
  <r>
    <n v="29.1"/>
    <s v="Week 32"/>
    <n v="32"/>
    <n v="32"/>
    <d v="1900-01-05T12:09:00"/>
    <d v="1899-12-30T03:40:00"/>
    <x v="2"/>
    <n v="25"/>
    <s v="Same"/>
    <s v="Investment Manager Selection"/>
    <n v="1"/>
    <n v="9"/>
    <n v="3"/>
    <n v="1"/>
    <n v="3"/>
    <n v="3"/>
    <n v="3"/>
    <n v="3"/>
    <x v="28"/>
    <n v="89.373271010207006"/>
    <x v="0"/>
    <x v="0"/>
    <s v="U"/>
    <s v="U"/>
    <x v="0"/>
    <s v="U"/>
    <s v="U"/>
    <s v="U"/>
    <n v="2"/>
    <m/>
    <n v="2.3255813953488372E-2"/>
    <n v="0.14285714285714285"/>
    <n v="0.2857142857142857"/>
    <x v="0"/>
    <x v="0"/>
  </r>
  <r>
    <n v="30.1"/>
    <s v="Week 33"/>
    <n v="33"/>
    <n v="33"/>
    <d v="1900-01-05T18:08:00"/>
    <d v="1899-12-30T05:59:00"/>
    <x v="1"/>
    <n v="1"/>
    <s v="Changes"/>
    <s v="Capital Market Expectations, Part 1-Framework and Macro Considerations"/>
    <n v="1"/>
    <n v="10"/>
    <n v="2"/>
    <n v="1"/>
    <n v="3"/>
    <n v="4"/>
    <n v="4"/>
    <n v="5"/>
    <x v="29"/>
    <n v="92.797863207097208"/>
    <x v="0"/>
    <x v="0"/>
    <s v="U"/>
    <s v="U"/>
    <x v="0"/>
    <s v="U"/>
    <s v="U"/>
    <s v="U"/>
    <n v="2"/>
    <m/>
    <n v="3.1007751937984496E-2"/>
    <n v="0.33333333333333331"/>
    <n v="0.66666666666666663"/>
    <x v="0"/>
    <x v="0"/>
  </r>
  <r>
    <n v="31.1"/>
    <s v="Week 34"/>
    <n v="34"/>
    <n v="34"/>
    <d v="1900-01-06T02:03:00"/>
    <d v="1899-12-30T07:55:00"/>
    <x v="1"/>
    <n v="2"/>
    <s v="Same"/>
    <s v="Capital Market Expectations, Part 2-Forecasting Asset Class Returns"/>
    <n v="1"/>
    <n v="8"/>
    <n v="2"/>
    <n v="3"/>
    <n v="3"/>
    <n v="4"/>
    <n v="4"/>
    <n v="5"/>
    <x v="30"/>
    <n v="97.329008871506247"/>
    <x v="0"/>
    <x v="0"/>
    <s v="U"/>
    <s v="U"/>
    <x v="0"/>
    <s v="U"/>
    <s v="U"/>
    <s v="U"/>
    <n v="3"/>
    <m/>
    <n v="3.1007751937984496E-2"/>
    <n v="0.33333333333333331"/>
    <n v="1"/>
    <x v="0"/>
    <x v="0"/>
  </r>
  <r>
    <n v="32.1"/>
    <s v="Week 35"/>
    <n v="35"/>
    <n v="35"/>
    <d v="1900-01-06T06:43:00"/>
    <d v="1899-12-30T04:40:00"/>
    <x v="5"/>
    <n v="33"/>
    <s v="Same"/>
    <s v="Overview of the Global Investment Performance Standards"/>
    <n v="1"/>
    <n v="10"/>
    <n v="4"/>
    <n v="2"/>
    <n v="4"/>
    <n v="5"/>
    <n v="4"/>
    <n v="5"/>
    <x v="31"/>
    <n v="100"/>
    <x v="0"/>
    <x v="0"/>
    <s v="U"/>
    <s v="U"/>
    <x v="0"/>
    <s v="U"/>
    <s v="U"/>
    <s v="U"/>
    <n v="2"/>
    <m/>
    <n v="3.1007751937984496E-2"/>
    <n v="0.23529411764705882"/>
    <n v="0.47058823529411764"/>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7">
    <pivotField numFmtId="3" showAll="0"/>
    <pivotField showAll="0"/>
    <pivotField numFmtId="3" showAll="0"/>
    <pivotField numFmtId="169" showAll="0"/>
    <pivotField numFmtId="169" showAll="0"/>
    <pivotField showAll="0"/>
    <pivotField showAll="0">
      <items count="16">
        <item x="7"/>
        <item m="1" x="13"/>
        <item m="1" x="12"/>
        <item m="1" x="14"/>
        <item m="1" x="8"/>
        <item x="0"/>
        <item x="1"/>
        <item x="6"/>
        <item x="5"/>
        <item x="3"/>
        <item m="1" x="10"/>
        <item m="1" x="9"/>
        <item x="4"/>
        <item x="2"/>
        <item m="1" x="11"/>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83">
      <pivotArea type="all" dataOnly="0" outline="0" fieldPosition="0"/>
    </format>
    <format dxfId="82">
      <pivotArea outline="0" collapsedLevelsAreSubtotals="1" fieldPosition="0"/>
    </format>
    <format dxfId="81">
      <pivotArea field="21" type="button" dataOnly="0" labelOnly="1" outline="0" axis="axisRow" fieldPosition="0"/>
    </format>
    <format dxfId="80">
      <pivotArea dataOnly="0" labelOnly="1" fieldPosition="0">
        <references count="1">
          <reference field="21" count="0"/>
        </references>
      </pivotArea>
    </format>
    <format dxfId="79">
      <pivotArea dataOnly="0" labelOnly="1" grandRow="1" outline="0" fieldPosition="0"/>
    </format>
    <format dxfId="78">
      <pivotArea dataOnly="0" labelOnly="1" outline="0" axis="axisValues" fieldPosition="0"/>
    </format>
  </formats>
  <chartFormats count="2">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7">
    <pivotField numFmtId="3" showAll="0"/>
    <pivotField showAll="0"/>
    <pivotField numFmtId="3" showAll="0"/>
    <pivotField numFmtId="169" showAll="0"/>
    <pivotField numFmtId="169" showAll="0"/>
    <pivotField showAll="0"/>
    <pivotField showAll="0">
      <items count="16">
        <item x="7"/>
        <item m="1" x="13"/>
        <item m="1" x="12"/>
        <item m="1" x="14"/>
        <item m="1" x="8"/>
        <item x="0"/>
        <item x="1"/>
        <item x="6"/>
        <item x="5"/>
        <item x="3"/>
        <item m="1" x="10"/>
        <item m="1" x="9"/>
        <item x="4"/>
        <item x="2"/>
        <item m="1" x="11"/>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3">
        <item m="1" x="1"/>
        <item x="0"/>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3"/>
  </rowFields>
  <rowItems count="2">
    <i>
      <x v="1"/>
    </i>
    <i t="grand">
      <x/>
    </i>
  </rowItems>
  <colItems count="1">
    <i/>
  </colItems>
  <dataFields count="1">
    <dataField name="Sum of No. of Chapters" fld="10" baseField="0" baseItem="0"/>
  </dataFields>
  <formats count="6">
    <format dxfId="89">
      <pivotArea type="all" dataOnly="0" outline="0" fieldPosition="0"/>
    </format>
    <format dxfId="88">
      <pivotArea outline="0" collapsedLevelsAreSubtotals="1" fieldPosition="0"/>
    </format>
    <format dxfId="87">
      <pivotArea field="33" type="button" dataOnly="0" labelOnly="1" outline="0" axis="axisRow" fieldPosition="0"/>
    </format>
    <format dxfId="86">
      <pivotArea dataOnly="0" labelOnly="1" fieldPosition="0">
        <references count="1">
          <reference field="33" count="0"/>
        </references>
      </pivotArea>
    </format>
    <format dxfId="85">
      <pivotArea dataOnly="0" labelOnly="1" grandRow="1" outline="0" fieldPosition="0"/>
    </format>
    <format dxfId="84">
      <pivotArea dataOnly="0" labelOnly="1" outline="0" axis="axisValues" fieldPosition="0"/>
    </format>
  </formats>
  <chartFormats count="2">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7">
    <pivotField numFmtId="3" showAll="0"/>
    <pivotField showAll="0"/>
    <pivotField numFmtId="3" showAll="0"/>
    <pivotField numFmtId="169" showAll="0"/>
    <pivotField numFmtId="169" showAll="0"/>
    <pivotField showAll="0"/>
    <pivotField showAll="0">
      <items count="16">
        <item x="7"/>
        <item m="1" x="13"/>
        <item m="1" x="12"/>
        <item m="1" x="14"/>
        <item m="1" x="8"/>
        <item x="0"/>
        <item x="1"/>
        <item x="6"/>
        <item x="5"/>
        <item x="3"/>
        <item m="1" x="10"/>
        <item m="1" x="9"/>
        <item x="4"/>
        <item x="2"/>
        <item m="1" x="11"/>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axis="axisRow" showAll="0">
      <items count="3">
        <item m="1" x="1"/>
        <item x="0"/>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4"/>
  </rowFields>
  <rowItems count="2">
    <i>
      <x v="1"/>
    </i>
    <i t="grand">
      <x/>
    </i>
  </rowItems>
  <colItems count="1">
    <i/>
  </colItems>
  <dataFields count="1">
    <dataField name="Sum of No. of Chapters" fld="10" baseField="0" baseItem="0"/>
  </dataFields>
  <formats count="6">
    <format dxfId="95">
      <pivotArea type="all" dataOnly="0" outline="0" fieldPosition="0"/>
    </format>
    <format dxfId="94">
      <pivotArea outline="0" collapsedLevelsAreSubtotals="1" fieldPosition="0"/>
    </format>
    <format dxfId="93">
      <pivotArea field="24" type="button" dataOnly="0" labelOnly="1" outline="0" axis="axisRow" fieldPosition="0"/>
    </format>
    <format dxfId="92">
      <pivotArea dataOnly="0" labelOnly="1" fieldPosition="0">
        <references count="1">
          <reference field="24" count="0"/>
        </references>
      </pivotArea>
    </format>
    <format dxfId="91">
      <pivotArea dataOnly="0" labelOnly="1" grandRow="1" outline="0" fieldPosition="0"/>
    </format>
    <format dxfId="90">
      <pivotArea dataOnly="0" labelOnly="1" outline="0" axis="axisValues" fieldPosition="0"/>
    </format>
  </formats>
  <chartFormats count="2">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7">
    <pivotField numFmtId="3" showAll="0"/>
    <pivotField showAll="0"/>
    <pivotField numFmtId="3" showAll="0"/>
    <pivotField numFmtId="169" showAll="0"/>
    <pivotField numFmtId="169" showAll="0"/>
    <pivotField showAll="0"/>
    <pivotField showAll="0">
      <items count="16">
        <item x="7"/>
        <item m="1" x="13"/>
        <item m="1" x="12"/>
        <item m="1" x="14"/>
        <item m="1" x="8"/>
        <item x="0"/>
        <item x="1"/>
        <item x="6"/>
        <item x="5"/>
        <item x="3"/>
        <item m="1" x="10"/>
        <item m="1" x="9"/>
        <item x="4"/>
        <item x="2"/>
        <item m="1" x="11"/>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4">
        <item m="1" x="1"/>
        <item x="0"/>
        <item m="1" x="2"/>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4"/>
  </rowFields>
  <rowItems count="2">
    <i>
      <x v="1"/>
    </i>
    <i t="grand">
      <x/>
    </i>
  </rowItems>
  <colItems count="1">
    <i/>
  </colItems>
  <dataFields count="1">
    <dataField name="Sum of No. of Chapters" fld="10" baseField="0" baseItem="0"/>
  </dataFields>
  <formats count="6">
    <format dxfId="101">
      <pivotArea type="all" dataOnly="0" outline="0" fieldPosition="0"/>
    </format>
    <format dxfId="100">
      <pivotArea outline="0" collapsedLevelsAreSubtotals="1" fieldPosition="0"/>
    </format>
    <format dxfId="99">
      <pivotArea field="34" type="button" dataOnly="0" labelOnly="1" outline="0" axis="axisRow" fieldPosition="0"/>
    </format>
    <format dxfId="98">
      <pivotArea dataOnly="0" labelOnly="1" fieldPosition="0">
        <references count="1">
          <reference field="34" count="0"/>
        </references>
      </pivotArea>
    </format>
    <format dxfId="97">
      <pivotArea dataOnly="0" labelOnly="1" grandRow="1" outline="0" fieldPosition="0"/>
    </format>
    <format dxfId="96">
      <pivotArea dataOnly="0" labelOnly="1" outline="0" axis="axisValues" fieldPosition="0"/>
    </format>
  </formats>
  <chartFormats count="2">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3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7">
    <pivotField numFmtId="3" showAll="0"/>
    <pivotField showAll="0"/>
    <pivotField numFmtId="3" showAll="0"/>
    <pivotField numFmtId="169" showAll="0"/>
    <pivotField numFmtId="169" showAll="0"/>
    <pivotField showAll="0"/>
    <pivotField showAll="0">
      <items count="16">
        <item x="7"/>
        <item m="1" x="13"/>
        <item m="1" x="12"/>
        <item m="1" x="14"/>
        <item m="1" x="8"/>
        <item x="0"/>
        <item x="1"/>
        <item x="6"/>
        <item x="5"/>
        <item x="3"/>
        <item m="1" x="10"/>
        <item m="1" x="9"/>
        <item x="4"/>
        <item x="2"/>
        <item m="1" x="11"/>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107">
      <pivotArea type="all" dataOnly="0" outline="0" fieldPosition="0"/>
    </format>
    <format dxfId="106">
      <pivotArea outline="0" collapsedLevelsAreSubtotals="1" fieldPosition="0"/>
    </format>
    <format dxfId="105">
      <pivotArea field="20" type="button" dataOnly="0" labelOnly="1" outline="0" axis="axisRow" fieldPosition="0"/>
    </format>
    <format dxfId="104">
      <pivotArea dataOnly="0" labelOnly="1" fieldPosition="0">
        <references count="1">
          <reference field="20" count="0"/>
        </references>
      </pivotArea>
    </format>
    <format dxfId="103">
      <pivotArea dataOnly="0" labelOnly="1" grandRow="1" outline="0" fieldPosition="0"/>
    </format>
    <format dxfId="102">
      <pivotArea dataOnly="0" labelOnly="1" outline="0" axis="axisValues" fieldPosition="0"/>
    </format>
  </formats>
  <chartFormats count="2">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5">
        <i x="7" s="1"/>
        <i x="0" s="1"/>
        <i x="1" s="1"/>
        <i x="6" s="1"/>
        <i x="5" s="1"/>
        <i x="3" s="1"/>
        <i x="4" s="1"/>
        <i x="2" s="1"/>
        <i x="13" s="1"/>
        <i x="12" s="1"/>
        <i x="14" s="1"/>
        <i x="8" s="1"/>
        <i x="10" s="1"/>
        <i x="9"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J40" totalsRowShown="0" headerRowDxfId="147" dataDxfId="145" headerRowBorderDxfId="146" tableBorderDxfId="144" totalsRowBorderDxfId="143">
  <autoFilter ref="B8:AJ40" xr:uid="{861EE33C-73C1-4F33-9192-F531CCE54052}"/>
  <sortState xmlns:xlrd2="http://schemas.microsoft.com/office/spreadsheetml/2017/richdata2" ref="B9:AJ40">
    <sortCondition ref="B8:B40"/>
  </sortState>
  <tableColumns count="35">
    <tableColumn id="9" xr3:uid="{1F1DE16E-278E-4EF8-B2BB-8924E21CCBFE}" name="Order of Study" dataDxfId="142"/>
    <tableColumn id="33" xr3:uid="{BBAB2BFB-594B-429D-A8B8-83652595607C}" name="Schedule" dataDxfId="141">
      <calculatedColumnFormula>IF(Master_Data[[#This Row],[Column1]]="Done","",IF(Master_Data[[#This Row],[Column1]]=MIN(Master_Data[Column1]),"Current Week",CONCATENATE("Week ",Master_Data[[#This Row],[Column1]])))</calculatedColumnFormula>
    </tableColumn>
    <tableColumn id="32" xr3:uid="{9A94244A-9683-470A-BBD0-A46326317C2C}" name="Column1" dataDxfId="140">
      <calculatedColumnFormula>IF(Master_Data[[#This Row],[Cum. Undone hrs]]=0,"Done",ROUNDUP(Master_Data[[#This Row],[Cum. Undone hrs]]/Working!$C$8,0))</calculatedColumnFormula>
    </tableColumn>
    <tableColumn id="35" xr3:uid="{6C477740-41B0-441A-A6F7-FA034A1A72AC}" name="Column2" dataDxfId="139">
      <calculatedColumnFormula>IF(OR(D9=D8,D9=D8+1),Master_Data[[#This Row],[Column1]],D9-1)</calculatedColumnFormula>
    </tableColumn>
    <tableColumn id="30" xr3:uid="{870EBD19-DC72-4312-B209-C8AADE869148}" name="Cum. Undone hrs" dataDxfId="138">
      <calculatedColumnFormula>SUM($G$9:G9)</calculatedColumnFormula>
    </tableColumn>
    <tableColumn id="27" xr3:uid="{2C857C23-47AE-4F9C-AA57-E6F2EC1B8477}" name="Undone hrs" dataDxfId="137">
      <calculatedColumnFormula>IF(Master_Data[[#This Row],[Lectures]]="D","",Master_Data[[#This Row],[Duration (hh:mm)]])</calculatedColumnFormula>
    </tableColumn>
    <tableColumn id="1" xr3:uid="{00000000-0010-0000-0000-000001000000}" name="Subject" dataDxfId="136"/>
    <tableColumn id="2" xr3:uid="{00000000-0010-0000-0000-000002000000}" name="Reading" dataDxfId="135"/>
    <tableColumn id="24" xr3:uid="{12F2DE11-D6A3-41B2-B62E-C51E27851BC0}" name="Changes" dataDxfId="134"/>
    <tableColumn id="3" xr3:uid="{00000000-0010-0000-0000-000003000000}" name="Topic" dataDxfId="133"/>
    <tableColumn id="12" xr3:uid="{294F1D9A-0400-43B3-9128-943C8F332287}" name="No. of Chapters" dataDxfId="132"/>
    <tableColumn id="13" xr3:uid="{831F4477-25B4-4195-AB9B-0AADBF9D7D3E}" name="No. of LOS" dataDxfId="131"/>
    <tableColumn id="21" xr3:uid="{75701E24-4A87-4E0F-9D5A-73640F8E25C4}" name="Lengthy" dataDxfId="130"/>
    <tableColumn id="20" xr3:uid="{77CA19E4-4B02-44E6-B959-FD5250D705DD}" name="Numerical or Not" dataDxfId="129"/>
    <tableColumn id="19" xr3:uid="{2E72736C-C56E-4D52-B458-A87278BC9CE2}" name="Diff. Level" dataDxfId="128"/>
    <tableColumn id="22" xr3:uid="{BC8C5220-F4FC-4DDB-BF01-412D8FEECE86}" name="Confusing" dataDxfId="127"/>
    <tableColumn id="18" xr3:uid="{2E66286A-5B10-41F1-B2EC-C16040833BBF}" name="Imp. Level" dataDxfId="126"/>
    <tableColumn id="17" xr3:uid="{7EEA9AA8-4E26-4B33-AA7E-0D9AA4589720}" name="Reqd. Prac." dataDxfId="125"/>
    <tableColumn id="16" xr3:uid="{BD71F8AD-1CE1-4DAB-BF8A-6F05372A3D94}" name="Duration (hh:mm)" dataDxfId="124"/>
    <tableColumn id="15" xr3:uid="{14D87CA9-408F-464E-88DB-8BE470862CA1}" name="Cum. (%)" dataDxfId="123">
      <calculatedColumnFormula>(SUM($T$9:T9)/$T$4)*100</calculatedColumnFormula>
    </tableColumn>
    <tableColumn id="4" xr3:uid="{00000000-0010-0000-0000-000004000000}" name="Lectures" dataDxfId="122"/>
    <tableColumn id="5" xr3:uid="{00000000-0010-0000-0000-000005000000}" name="Self Study" dataDxfId="121"/>
    <tableColumn id="10" xr3:uid="{00000000-0010-0000-0000-00000A000000}" name="Inst. EOC Ques." dataDxfId="120"/>
    <tableColumn id="8" xr3:uid="{00000000-0010-0000-0000-000008000000}" name="Prac. Book" dataDxfId="119"/>
    <tableColumn id="6" xr3:uid="{00000000-0010-0000-0000-000006000000}" name="Revision" dataDxfId="118"/>
    <tableColumn id="11" xr3:uid="{00000000-0010-0000-0000-00000B000000}" name="Inst. Online Portal" dataDxfId="117"/>
    <tableColumn id="14" xr3:uid="{AEDD019D-42C9-488A-91CF-CB6B9FD52249}" name="Schweser Prac. Bk 1" dataDxfId="116"/>
    <tableColumn id="7" xr3:uid="{00000000-0010-0000-0000-000007000000}" name="Schweser Prac. Bk 2" dataDxfId="115"/>
    <tableColumn id="25" xr3:uid="{960A4FD1-ACCA-4C3B-BB49-555780F1E120}" name="Confidence Level" dataDxfId="114"/>
    <tableColumn id="23" xr3:uid="{4F2FB2AB-1E57-49E4-A36E-C2AE4F7ECC88}" name="Notes to Yourself" dataDxfId="113"/>
    <tableColumn id="26" xr3:uid="{15012E93-27CD-479E-B748-1A0B33E38540}" name="Total weights" dataDxfId="112">
      <calculatedColumnFormula>R9/SUM($R$9:$R$40)</calculatedColumnFormula>
    </tableColumn>
    <tableColumn id="28" xr3:uid="{F75F033E-D2A5-4A49-AC71-603D263F625D}" name="Subjectwise weights" dataDxfId="111">
      <calculatedColumnFormula>Master_Data[[#This Row],[Imp. Level]]/SUMIF(Master_Data[Subject],Master_Data[[#This Row],[Subject]],Master_Data[Imp. Level])</calculatedColumnFormula>
    </tableColumn>
    <tableColumn id="29" xr3:uid="{4DCF2CFD-3233-40BF-995C-319D9E96ABF7}" name="Subjectwise weighted average" dataDxfId="110">
      <calculatedColumnFormula>Master_Data[[#This Row],[Subjectwise weights]]*Master_Data[[#This Row],[Confidence Level]]</calculatedColumnFormula>
    </tableColumn>
    <tableColumn id="31" xr3:uid="{44791B14-8EA4-4997-9F55-0F060C364CAA}" name="Practice" dataDxfId="109">
      <calculatedColumnFormula>IF(AND(Master_Data[[#This Row],[Inst. EOC Ques.]]="D",Master_Data[[#This Row],[Prac. Book]]="D"),"D","U")</calculatedColumnFormula>
    </tableColumn>
    <tableColumn id="34" xr3:uid="{679C7012-AA95-4E12-BCFA-3A8F0884BA1B}" name="Extra Practice" dataDxfId="108">
      <calculatedColumnFormula>IF(AND(Master_Data[[#This Row],[Inst. Online Portal]]="D",Master_Data[[#This Row],[Schweser Prac. Bk 1]]="D",Master_Data[[#This Row],[Schweser Prac. Bk 2]]="D"),"D","U")</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77" dataDxfId="75" totalsRowDxfId="73" headerRowBorderDxfId="76" tableBorderDxfId="74" totalsRowBorderDxfId="72">
  <tableColumns count="7">
    <tableColumn id="1" xr3:uid="{AE11ECA3-766C-4A27-9D55-2BC88847F811}" name="YEAR" dataDxfId="71" totalsRowDxfId="70"/>
    <tableColumn id="8" xr3:uid="{F45BA15B-8BD1-46B5-B2D7-1C41230837B1}" name="Difference" dataDxfId="69" totalsRowDxfId="68" dataCellStyle="Percent" totalsRowCellStyle="Percent"/>
    <tableColumn id="3" xr3:uid="{8587D4BE-01D5-4334-AA9F-1CB7C9F49C45}" name="Cum. Diff" dataDxfId="67" totalsRowDxfId="66" dataCellStyle="Percent" totalsRowCellStyle="Percent">
      <calculatedColumnFormula>Table134[[#This Row],[Diff %]]</calculatedColumnFormula>
    </tableColumn>
    <tableColumn id="2" xr3:uid="{6BC40997-B42C-4560-B77E-739CF69E8116}" name="Diff %" totalsRowFunction="sum" dataDxfId="65" totalsRowDxfId="64" dataCellStyle="Percent" totalsRowCellStyle="Percent">
      <calculatedColumnFormula>Table134[[#This Row],[%]]</calculatedColumnFormula>
    </tableColumn>
    <tableColumn id="6" xr3:uid="{3F56D537-714F-43D6-9FD7-831C5EC8E06A}" name="%" dataDxfId="63" totalsRowDxfId="62">
      <calculatedColumnFormula>Table134[[#This Row],[Difference]]/$F$7</calculatedColumnFormula>
    </tableColumn>
    <tableColumn id="7" xr3:uid="{934479DB-DEF7-4CC9-ACF3-42FD51742DBC}" name="No. of days" dataDxfId="61" totalsRowDxfId="60">
      <calculatedColumnFormula>30%</calculatedColumnFormula>
    </tableColumn>
    <tableColumn id="10" xr3:uid="{51DA5D9E-8A89-4740-A73E-F978631A4936}" name="LABEL" dataDxfId="59" totalsRowDxfId="5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3"/>
  <sheetViews>
    <sheetView showGridLines="0" zoomScale="90" zoomScaleNormal="90" workbookViewId="0">
      <selection activeCell="F8" sqref="F8"/>
    </sheetView>
  </sheetViews>
  <sheetFormatPr defaultColWidth="8.7265625" defaultRowHeight="14" x14ac:dyDescent="0.3"/>
  <cols>
    <col min="1" max="1" width="3.7265625" style="35" customWidth="1"/>
    <col min="2" max="2" width="11.81640625" style="35" customWidth="1"/>
    <col min="3" max="3" width="16" style="35" customWidth="1"/>
    <col min="4" max="4" width="42.54296875" style="35" customWidth="1"/>
    <col min="5" max="5" width="34.453125" style="35" customWidth="1"/>
    <col min="6" max="6" width="39.54296875" style="35" customWidth="1"/>
    <col min="7" max="16384" width="8.7265625" style="35"/>
  </cols>
  <sheetData>
    <row r="1" spans="2:27" ht="6.75" customHeight="1" x14ac:dyDescent="0.3"/>
    <row r="2" spans="2:27" ht="30" customHeight="1" x14ac:dyDescent="0.3">
      <c r="B2" s="263" t="s">
        <v>162</v>
      </c>
      <c r="C2" s="263"/>
      <c r="D2" s="263"/>
      <c r="E2" s="263"/>
      <c r="F2" s="263"/>
      <c r="G2" s="52"/>
      <c r="H2" s="52"/>
      <c r="I2" s="52"/>
      <c r="J2" s="52"/>
      <c r="K2" s="52"/>
      <c r="L2" s="52"/>
      <c r="M2" s="52"/>
      <c r="N2" s="52"/>
      <c r="O2" s="52"/>
      <c r="P2" s="52"/>
      <c r="Q2" s="52"/>
      <c r="R2" s="52"/>
      <c r="S2" s="52"/>
      <c r="T2" s="52"/>
      <c r="U2" s="52"/>
      <c r="V2" s="52"/>
      <c r="W2" s="52"/>
      <c r="X2" s="52"/>
      <c r="Y2" s="52"/>
      <c r="Z2" s="52"/>
      <c r="AA2" s="52"/>
    </row>
    <row r="3" spans="2:27" ht="10" customHeight="1" x14ac:dyDescent="0.3"/>
    <row r="4" spans="2:27" s="26" customFormat="1" ht="21.75" customHeight="1" x14ac:dyDescent="0.35">
      <c r="D4" s="53"/>
      <c r="E4" s="266" t="s">
        <v>167</v>
      </c>
      <c r="F4" s="266"/>
      <c r="G4" s="53"/>
      <c r="H4" s="53"/>
      <c r="I4" s="53"/>
      <c r="J4" s="53"/>
      <c r="K4" s="54"/>
      <c r="L4" s="54"/>
      <c r="M4" s="54"/>
      <c r="N4" s="54"/>
      <c r="O4" s="54"/>
      <c r="P4" s="54"/>
      <c r="Q4" s="54"/>
      <c r="R4" s="54"/>
      <c r="S4" s="54"/>
    </row>
    <row r="5" spans="2:27" ht="8.25" customHeight="1" x14ac:dyDescent="0.3"/>
    <row r="6" spans="2:27" ht="18" x14ac:dyDescent="0.3">
      <c r="E6" s="64" t="s">
        <v>0</v>
      </c>
      <c r="F6" s="65" t="s">
        <v>216</v>
      </c>
      <c r="I6" s="130"/>
    </row>
    <row r="7" spans="2:27" ht="5.25" customHeight="1" x14ac:dyDescent="0.3">
      <c r="E7" s="55"/>
      <c r="F7" s="145"/>
    </row>
    <row r="8" spans="2:27" ht="19.5" customHeight="1" x14ac:dyDescent="0.3">
      <c r="E8" s="170" t="s">
        <v>2</v>
      </c>
      <c r="F8" s="255">
        <v>45295</v>
      </c>
    </row>
    <row r="9" spans="2:27" ht="19.5" customHeight="1" x14ac:dyDescent="0.3">
      <c r="E9" s="171" t="s">
        <v>1</v>
      </c>
      <c r="F9" s="258">
        <v>45615</v>
      </c>
    </row>
    <row r="11" spans="2:27" x14ac:dyDescent="0.3">
      <c r="B11" s="268"/>
      <c r="C11" s="268"/>
      <c r="D11" s="268"/>
    </row>
    <row r="12" spans="2:27" ht="6.65" customHeight="1" x14ac:dyDescent="0.3">
      <c r="B12" s="139"/>
      <c r="C12" s="139"/>
    </row>
    <row r="13" spans="2:27" s="140" customFormat="1" ht="25.5" x14ac:dyDescent="0.55000000000000004">
      <c r="B13" s="264" t="s">
        <v>34</v>
      </c>
      <c r="C13" s="264"/>
      <c r="D13" s="265"/>
      <c r="E13" s="265"/>
      <c r="F13" s="141" t="str">
        <f>'📝 Instructions'!E4&amp;" |Aswini Bajaj"</f>
        <v>CFA L-3 |Aswini Bajaj</v>
      </c>
    </row>
    <row r="14" spans="2:27" x14ac:dyDescent="0.3">
      <c r="C14" s="36"/>
    </row>
    <row r="15" spans="2:27" ht="42.65" customHeight="1" x14ac:dyDescent="0.6">
      <c r="B15" s="132"/>
      <c r="C15" s="132"/>
      <c r="D15" s="132"/>
      <c r="E15" s="132"/>
      <c r="F15" s="132"/>
    </row>
    <row r="16" spans="2:27" ht="44.5" customHeight="1" x14ac:dyDescent="0.6">
      <c r="B16" s="46"/>
      <c r="C16" s="46"/>
      <c r="D16" s="46"/>
      <c r="E16" s="46"/>
      <c r="F16" s="46"/>
    </row>
    <row r="17" spans="2:6" ht="25.5" x14ac:dyDescent="0.55000000000000004">
      <c r="B17" s="47"/>
      <c r="C17" s="48"/>
      <c r="D17" s="47"/>
      <c r="E17" s="47"/>
    </row>
    <row r="18" spans="2:6" ht="18.649999999999999" customHeight="1" x14ac:dyDescent="0.55000000000000004">
      <c r="B18" s="47"/>
      <c r="C18" s="48"/>
      <c r="D18" s="47"/>
      <c r="E18" s="47"/>
    </row>
    <row r="19" spans="2:6" ht="18" x14ac:dyDescent="0.3">
      <c r="B19" s="144" t="s">
        <v>32</v>
      </c>
      <c r="C19" s="144" t="s">
        <v>33</v>
      </c>
      <c r="D19" s="267" t="s">
        <v>34</v>
      </c>
      <c r="E19" s="267"/>
      <c r="F19" s="267"/>
    </row>
    <row r="20" spans="2:6" ht="59.15" customHeight="1" x14ac:dyDescent="0.3">
      <c r="B20" s="133">
        <v>1</v>
      </c>
      <c r="C20" s="134" t="s">
        <v>14</v>
      </c>
      <c r="D20" s="259" t="s">
        <v>164</v>
      </c>
      <c r="E20" s="259"/>
      <c r="F20" s="260"/>
    </row>
    <row r="21" spans="2:6" ht="42" customHeight="1" x14ac:dyDescent="0.3">
      <c r="B21" s="133">
        <v>2</v>
      </c>
      <c r="C21" s="134" t="str">
        <f>Master_Data[[#Headers],[Schedule]]</f>
        <v>Schedule</v>
      </c>
      <c r="D21" s="259" t="s">
        <v>166</v>
      </c>
      <c r="E21" s="259"/>
      <c r="F21" s="260"/>
    </row>
    <row r="22" spans="2:6" ht="42" customHeight="1" x14ac:dyDescent="0.3">
      <c r="B22" s="135">
        <v>3</v>
      </c>
      <c r="C22" s="136" t="s">
        <v>3</v>
      </c>
      <c r="D22" s="259" t="s">
        <v>38</v>
      </c>
      <c r="E22" s="259"/>
      <c r="F22" s="260"/>
    </row>
    <row r="23" spans="2:6" ht="25.5" customHeight="1" x14ac:dyDescent="0.3">
      <c r="B23" s="137">
        <v>4</v>
      </c>
      <c r="C23" s="138" t="s">
        <v>4</v>
      </c>
      <c r="D23" s="259" t="s">
        <v>74</v>
      </c>
      <c r="E23" s="259"/>
      <c r="F23" s="260"/>
    </row>
    <row r="24" spans="2:6" ht="42" customHeight="1" x14ac:dyDescent="0.3">
      <c r="B24" s="135">
        <v>5</v>
      </c>
      <c r="C24" s="136" t="s">
        <v>5</v>
      </c>
      <c r="D24" s="259" t="s">
        <v>87</v>
      </c>
      <c r="E24" s="259"/>
      <c r="F24" s="260"/>
    </row>
    <row r="25" spans="2:6" ht="42" customHeight="1" x14ac:dyDescent="0.3">
      <c r="B25" s="137">
        <v>6</v>
      </c>
      <c r="C25" s="138" t="s">
        <v>73</v>
      </c>
      <c r="D25" s="259" t="s">
        <v>92</v>
      </c>
      <c r="E25" s="259"/>
      <c r="F25" s="260"/>
    </row>
    <row r="26" spans="2:6" ht="29.15" customHeight="1" x14ac:dyDescent="0.3">
      <c r="B26" s="135">
        <v>7</v>
      </c>
      <c r="C26" s="136" t="s">
        <v>97</v>
      </c>
      <c r="D26" s="259" t="s">
        <v>93</v>
      </c>
      <c r="E26" s="259"/>
      <c r="F26" s="260"/>
    </row>
    <row r="27" spans="2:6" ht="42" customHeight="1" x14ac:dyDescent="0.3">
      <c r="B27" s="137">
        <v>8</v>
      </c>
      <c r="C27" s="138" t="s">
        <v>159</v>
      </c>
      <c r="D27" s="259" t="s">
        <v>96</v>
      </c>
      <c r="E27" s="259"/>
      <c r="F27" s="260"/>
    </row>
    <row r="28" spans="2:6" ht="42" customHeight="1" x14ac:dyDescent="0.3">
      <c r="B28" s="135">
        <v>9</v>
      </c>
      <c r="C28" s="136" t="s">
        <v>70</v>
      </c>
      <c r="D28" s="259" t="s">
        <v>86</v>
      </c>
      <c r="E28" s="259"/>
      <c r="F28" s="260"/>
    </row>
    <row r="29" spans="2:6" ht="72" customHeight="1" x14ac:dyDescent="0.3">
      <c r="B29" s="137">
        <v>10</v>
      </c>
      <c r="C29" s="138" t="s">
        <v>71</v>
      </c>
      <c r="D29" s="259" t="s">
        <v>88</v>
      </c>
      <c r="E29" s="259"/>
      <c r="F29" s="260"/>
    </row>
    <row r="30" spans="2:6" ht="75.650000000000006" customHeight="1" x14ac:dyDescent="0.3">
      <c r="B30" s="135">
        <v>11</v>
      </c>
      <c r="C30" s="136" t="s">
        <v>160</v>
      </c>
      <c r="D30" s="259" t="s">
        <v>85</v>
      </c>
      <c r="E30" s="259"/>
      <c r="F30" s="260"/>
    </row>
    <row r="31" spans="2:6" ht="198" customHeight="1" x14ac:dyDescent="0.3">
      <c r="B31" s="137">
        <v>12</v>
      </c>
      <c r="C31" s="138" t="s">
        <v>72</v>
      </c>
      <c r="D31" s="259" t="s">
        <v>194</v>
      </c>
      <c r="E31" s="259"/>
      <c r="F31" s="260"/>
    </row>
    <row r="32" spans="2:6" ht="73" customHeight="1" x14ac:dyDescent="0.3">
      <c r="B32" s="135">
        <v>13</v>
      </c>
      <c r="C32" s="136" t="s">
        <v>35</v>
      </c>
      <c r="D32" s="259" t="s">
        <v>193</v>
      </c>
      <c r="E32" s="259"/>
      <c r="F32" s="260"/>
    </row>
    <row r="33" spans="2:6" ht="42" customHeight="1" x14ac:dyDescent="0.3">
      <c r="B33" s="137">
        <v>14</v>
      </c>
      <c r="C33" s="138" t="s">
        <v>31</v>
      </c>
      <c r="D33" s="259" t="s">
        <v>89</v>
      </c>
      <c r="E33" s="259"/>
      <c r="F33" s="260"/>
    </row>
    <row r="34" spans="2:6" ht="58.5" customHeight="1" x14ac:dyDescent="0.3">
      <c r="B34" s="135">
        <v>15</v>
      </c>
      <c r="C34" s="136" t="s">
        <v>25</v>
      </c>
      <c r="D34" s="261" t="s">
        <v>90</v>
      </c>
      <c r="E34" s="261"/>
      <c r="F34" s="262"/>
    </row>
    <row r="35" spans="2:6" ht="56.5" customHeight="1" x14ac:dyDescent="0.3">
      <c r="B35" s="137">
        <v>16</v>
      </c>
      <c r="C35" s="138" t="s">
        <v>26</v>
      </c>
      <c r="D35" s="259" t="s">
        <v>39</v>
      </c>
      <c r="E35" s="259"/>
      <c r="F35" s="260"/>
    </row>
    <row r="36" spans="2:6" ht="58.5" customHeight="1" x14ac:dyDescent="0.3">
      <c r="B36" s="135">
        <v>17</v>
      </c>
      <c r="C36" s="136" t="s">
        <v>27</v>
      </c>
      <c r="D36" s="259" t="s">
        <v>195</v>
      </c>
      <c r="E36" s="259"/>
      <c r="F36" s="260"/>
    </row>
    <row r="37" spans="2:6" ht="69.75" customHeight="1" x14ac:dyDescent="0.3">
      <c r="B37" s="137">
        <v>18</v>
      </c>
      <c r="C37" s="136" t="s">
        <v>30</v>
      </c>
      <c r="D37" s="259" t="s">
        <v>168</v>
      </c>
      <c r="E37" s="259"/>
      <c r="F37" s="260"/>
    </row>
    <row r="38" spans="2:6" ht="42" customHeight="1" x14ac:dyDescent="0.3">
      <c r="B38" s="135">
        <v>19</v>
      </c>
      <c r="C38" s="136" t="s">
        <v>28</v>
      </c>
      <c r="D38" s="259" t="s">
        <v>40</v>
      </c>
      <c r="E38" s="259"/>
      <c r="F38" s="260"/>
    </row>
    <row r="39" spans="2:6" ht="42" customHeight="1" x14ac:dyDescent="0.3">
      <c r="B39" s="137">
        <v>20</v>
      </c>
      <c r="C39" s="138" t="s">
        <v>29</v>
      </c>
      <c r="D39" s="259" t="s">
        <v>196</v>
      </c>
      <c r="E39" s="259"/>
      <c r="F39" s="260"/>
    </row>
    <row r="40" spans="2:6" ht="50.5" customHeight="1" x14ac:dyDescent="0.3">
      <c r="B40" s="135">
        <v>21</v>
      </c>
      <c r="C40" s="136" t="s">
        <v>60</v>
      </c>
      <c r="D40" s="259" t="s">
        <v>169</v>
      </c>
      <c r="E40" s="259"/>
      <c r="F40" s="260"/>
    </row>
    <row r="41" spans="2:6" ht="61.5" customHeight="1" x14ac:dyDescent="0.3">
      <c r="B41" s="137">
        <v>22</v>
      </c>
      <c r="C41" s="136" t="s">
        <v>61</v>
      </c>
      <c r="D41" s="259" t="s">
        <v>169</v>
      </c>
      <c r="E41" s="259"/>
      <c r="F41" s="260"/>
    </row>
    <row r="42" spans="2:6" x14ac:dyDescent="0.3">
      <c r="B42" s="135">
        <v>23</v>
      </c>
      <c r="C42" s="138" t="s">
        <v>112</v>
      </c>
      <c r="D42" s="259" t="s">
        <v>158</v>
      </c>
      <c r="E42" s="259"/>
      <c r="F42" s="260"/>
    </row>
    <row r="43" spans="2:6" ht="59.25" customHeight="1" x14ac:dyDescent="0.3">
      <c r="B43" s="135">
        <v>24</v>
      </c>
      <c r="C43" s="136" t="s">
        <v>94</v>
      </c>
      <c r="D43" s="259" t="s">
        <v>161</v>
      </c>
      <c r="E43" s="259"/>
      <c r="F43" s="260"/>
    </row>
  </sheetData>
  <sheetProtection algorithmName="SHA-512" hashValue="RnnX8tnqFMS0McfeNWQAT6+tEuq9guYqGzEYn1tw0UvZpbdGtZcXBPAafynxmD1AhmyRbCw91uA2UvyelieydQ==" saltValue="e+JpgY6/nuOMNkdlSi47mQ==" spinCount="100000" sheet="1" selectLockedCells="1"/>
  <mergeCells count="30">
    <mergeCell ref="B2:F2"/>
    <mergeCell ref="B13:C13"/>
    <mergeCell ref="D21:F21"/>
    <mergeCell ref="D13:E13"/>
    <mergeCell ref="E4:F4"/>
    <mergeCell ref="D20:F20"/>
    <mergeCell ref="D19:F19"/>
    <mergeCell ref="B11:D11"/>
    <mergeCell ref="D37:F37"/>
    <mergeCell ref="D38:F38"/>
    <mergeCell ref="D39:F39"/>
    <mergeCell ref="D40:F40"/>
    <mergeCell ref="D22:F22"/>
    <mergeCell ref="D23:F23"/>
    <mergeCell ref="D43:F43"/>
    <mergeCell ref="D24:F24"/>
    <mergeCell ref="D32:F32"/>
    <mergeCell ref="D33:F33"/>
    <mergeCell ref="D34:F34"/>
    <mergeCell ref="D35:F35"/>
    <mergeCell ref="D30:F30"/>
    <mergeCell ref="D31:F31"/>
    <mergeCell ref="D29:F29"/>
    <mergeCell ref="D28:F28"/>
    <mergeCell ref="D27:F27"/>
    <mergeCell ref="D25:F25"/>
    <mergeCell ref="D26:F26"/>
    <mergeCell ref="D41:F41"/>
    <mergeCell ref="D42:F42"/>
    <mergeCell ref="D36:F36"/>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S40"/>
  <sheetViews>
    <sheetView showGridLines="0" zoomScale="70" zoomScaleNormal="70" workbookViewId="0">
      <selection activeCell="V9" sqref="V9"/>
    </sheetView>
  </sheetViews>
  <sheetFormatPr defaultColWidth="8.81640625" defaultRowHeight="14" x14ac:dyDescent="0.3"/>
  <cols>
    <col min="1" max="1" width="0.54296875" style="35" customWidth="1"/>
    <col min="2" max="2" width="6.453125" style="35" customWidth="1"/>
    <col min="3" max="3" width="9.54296875" style="36" customWidth="1"/>
    <col min="4" max="5" width="10.81640625" style="35" hidden="1" customWidth="1"/>
    <col min="6" max="6" width="8" style="35" hidden="1" customWidth="1"/>
    <col min="7" max="7" width="9.26953125" style="35" hidden="1" customWidth="1"/>
    <col min="8" max="8" width="10.1796875" style="36" customWidth="1"/>
    <col min="9" max="9" width="8.81640625" style="35" customWidth="1"/>
    <col min="10" max="10" width="8.81640625" style="35" hidden="1" customWidth="1"/>
    <col min="11" max="11" width="32.453125" style="36" customWidth="1"/>
    <col min="12" max="12" width="16.1796875" style="36" hidden="1" customWidth="1"/>
    <col min="13" max="13" width="6.1796875" style="56" customWidth="1"/>
    <col min="14" max="19" width="8.7265625" style="56" customWidth="1"/>
    <col min="20" max="20" width="9.81640625" style="35" customWidth="1"/>
    <col min="21" max="21" width="8.1796875" style="35" bestFit="1" customWidth="1"/>
    <col min="22" max="22" width="8.7265625" style="35" customWidth="1"/>
    <col min="23" max="23" width="6.81640625" style="35" bestFit="1" customWidth="1"/>
    <col min="24" max="24" width="6.81640625" style="35" customWidth="1"/>
    <col min="25" max="25" width="6.453125" style="35" customWidth="1"/>
    <col min="26" max="26" width="8.54296875" style="35" customWidth="1"/>
    <col min="27" max="27" width="7.54296875" style="35" customWidth="1"/>
    <col min="28" max="29" width="10.26953125" style="35" customWidth="1"/>
    <col min="30" max="30" width="7.7265625" style="35" customWidth="1"/>
    <col min="31" max="31" width="40" style="35" customWidth="1"/>
    <col min="32" max="33" width="8.81640625" style="35" hidden="1" customWidth="1"/>
    <col min="34" max="34" width="11.453125" style="35" hidden="1" customWidth="1"/>
    <col min="35" max="36" width="8.81640625" style="35" hidden="1" customWidth="1"/>
    <col min="37" max="16384" width="8.81640625" style="35"/>
  </cols>
  <sheetData>
    <row r="2" spans="1:36" ht="30" customHeight="1" x14ac:dyDescent="0.55000000000000004">
      <c r="A2" s="58"/>
      <c r="B2" s="70" t="s">
        <v>50</v>
      </c>
      <c r="C2" s="165"/>
      <c r="D2" s="66"/>
      <c r="E2" s="66"/>
      <c r="F2" s="66"/>
      <c r="G2" s="66"/>
      <c r="H2" s="66"/>
      <c r="I2" s="67"/>
      <c r="J2" s="67"/>
      <c r="K2" s="67"/>
      <c r="L2" s="67"/>
      <c r="M2" s="67"/>
      <c r="N2" s="67"/>
      <c r="O2" s="67"/>
      <c r="P2" s="67"/>
      <c r="Q2" s="67"/>
      <c r="R2" s="67"/>
      <c r="S2" s="67"/>
      <c r="T2" s="67"/>
      <c r="U2" s="67"/>
      <c r="V2" s="67"/>
      <c r="W2" s="67"/>
      <c r="X2" s="67"/>
      <c r="Y2" s="67"/>
      <c r="Z2" s="67"/>
      <c r="AA2" s="67"/>
      <c r="AB2" s="68"/>
      <c r="AC2" s="68"/>
      <c r="AD2" s="68" t="str">
        <f>'📝 Instructions'!E4&amp;" |Aswini Bajaj"</f>
        <v>CFA L-3 |Aswini Bajaj</v>
      </c>
    </row>
    <row r="3" spans="1:36" ht="11.25" customHeight="1" x14ac:dyDescent="0.3">
      <c r="B3" s="57"/>
      <c r="C3" s="166"/>
      <c r="D3" s="57"/>
      <c r="E3" s="57"/>
      <c r="F3" s="57"/>
      <c r="G3" s="57"/>
      <c r="H3" s="57"/>
      <c r="I3" s="57"/>
      <c r="J3" s="57"/>
    </row>
    <row r="4" spans="1:36" ht="20.149999999999999" customHeight="1" x14ac:dyDescent="0.3">
      <c r="B4" s="269" t="s">
        <v>109</v>
      </c>
      <c r="C4" s="269"/>
      <c r="D4" s="269"/>
      <c r="E4" s="269"/>
      <c r="F4" s="269"/>
      <c r="G4" s="269"/>
      <c r="H4" s="269"/>
      <c r="I4" s="269"/>
      <c r="J4" s="269"/>
      <c r="K4" s="269"/>
      <c r="L4" s="269"/>
      <c r="M4" s="269"/>
      <c r="N4" s="269"/>
      <c r="O4" s="269"/>
      <c r="P4" s="269"/>
      <c r="Q4" s="269"/>
      <c r="R4" s="270" t="s">
        <v>7</v>
      </c>
      <c r="S4" s="271"/>
      <c r="T4" s="40">
        <f>SUM(Master_Data[Duration (hh:mm)])</f>
        <v>7.2798611111111109</v>
      </c>
      <c r="U4" s="41">
        <v>1</v>
      </c>
      <c r="V4" s="42">
        <f>SUM(Master_Data[No. of Chapters])</f>
        <v>33</v>
      </c>
      <c r="W4" s="42">
        <f>SUM(Master_Data[No. of Chapters])</f>
        <v>33</v>
      </c>
      <c r="X4" s="42">
        <f>SUM(Master_Data[No. of Chapters])</f>
        <v>33</v>
      </c>
      <c r="Y4" s="42">
        <f>SUM(Master_Data[No. of Chapters])</f>
        <v>33</v>
      </c>
      <c r="Z4" s="42">
        <f>SUM(Master_Data[No. of Chapters])</f>
        <v>33</v>
      </c>
      <c r="AA4" s="42">
        <f>SUM(Master_Data[No. of Chapters])</f>
        <v>33</v>
      </c>
      <c r="AB4" s="42">
        <f>SUM(Master_Data[No. of Chapters])</f>
        <v>33</v>
      </c>
      <c r="AC4" s="42">
        <f>SUM(Master_Data[No. of Chapters])</f>
        <v>33</v>
      </c>
      <c r="AD4" s="42">
        <v>5</v>
      </c>
      <c r="AF4" s="63"/>
    </row>
    <row r="5" spans="1:36" ht="20.149999999999999" customHeight="1" x14ac:dyDescent="0.3">
      <c r="B5" s="269"/>
      <c r="C5" s="269"/>
      <c r="D5" s="269"/>
      <c r="E5" s="269"/>
      <c r="F5" s="269"/>
      <c r="G5" s="269"/>
      <c r="H5" s="269"/>
      <c r="I5" s="269"/>
      <c r="J5" s="269"/>
      <c r="K5" s="269"/>
      <c r="L5" s="269"/>
      <c r="M5" s="269"/>
      <c r="N5" s="269"/>
      <c r="O5" s="269"/>
      <c r="P5" s="269"/>
      <c r="Q5" s="269"/>
      <c r="R5" s="270" t="s">
        <v>37</v>
      </c>
      <c r="S5" s="271"/>
      <c r="T5" s="40">
        <f>SUMIF(Master_Data[Lectures],"d",Master_Data[Duration (hh:mm)])</f>
        <v>0</v>
      </c>
      <c r="U5" s="41">
        <f>T5/T4</f>
        <v>0</v>
      </c>
      <c r="V5" s="43">
        <f>SUMIFS(Master_Data[No. of Chapters],Master_Data[Lectures],"d")</f>
        <v>0</v>
      </c>
      <c r="W5" s="43">
        <f>SUMIFS(Master_Data[No. of Chapters],Master_Data[Self Study],"d")</f>
        <v>0</v>
      </c>
      <c r="X5" s="43">
        <f>SUMIFS(Master_Data[No. of Chapters],Master_Data[Inst. EOC Ques.],"d")</f>
        <v>0</v>
      </c>
      <c r="Y5" s="43">
        <f>SUMIFS(Master_Data[No. of Chapters],Master_Data[Prac. Book],"d")</f>
        <v>0</v>
      </c>
      <c r="Z5" s="43">
        <f>SUMIFS(Master_Data[No. of Chapters],Master_Data[Revision],"d")</f>
        <v>0</v>
      </c>
      <c r="AA5" s="43">
        <f>SUMIFS(Master_Data[No. of Chapters],Master_Data[Inst. Online Portal],"d")</f>
        <v>0</v>
      </c>
      <c r="AB5" s="43">
        <f>SUMIFS(Master_Data[No. of Chapters],Master_Data[Schweser Prac. Bk 1],"d")</f>
        <v>0</v>
      </c>
      <c r="AC5" s="43">
        <f>SUMIFS(Master_Data[No. of Chapters],Master_Data[Schweser Prac. Bk 2],"d")</f>
        <v>0</v>
      </c>
      <c r="AD5" s="43">
        <f>SUMPRODUCT(Master_Data[Confidence Level],Master_Data[Total weights])</f>
        <v>2.364341085271318</v>
      </c>
      <c r="AF5" s="63"/>
    </row>
    <row r="6" spans="1:36" ht="20.149999999999999" customHeight="1" x14ac:dyDescent="0.3">
      <c r="B6" s="59"/>
      <c r="C6" s="167"/>
      <c r="D6" s="59"/>
      <c r="E6" s="59"/>
      <c r="F6" s="59"/>
      <c r="G6" s="59"/>
      <c r="H6" s="59"/>
      <c r="I6" s="59"/>
      <c r="J6" s="57"/>
      <c r="K6" s="60" t="s">
        <v>95</v>
      </c>
      <c r="L6" s="60"/>
      <c r="M6" s="61">
        <f>AVERAGE(Master_Data[No. of LOS])</f>
        <v>8.5806451612903221</v>
      </c>
      <c r="N6" s="61">
        <f>AVERAGE(Master_Data[Lengthy])</f>
        <v>3.09375</v>
      </c>
      <c r="O6" s="61">
        <f>AVERAGE(Master_Data[Numerical or Not])</f>
        <v>2.03125</v>
      </c>
      <c r="P6" s="61">
        <f>AVERAGE(Master_Data[Diff. Level])</f>
        <v>3.09375</v>
      </c>
      <c r="Q6" s="61">
        <f>AVERAGE(Master_Data[Confusing])</f>
        <v>3.8125</v>
      </c>
      <c r="R6" s="61">
        <f>AVERAGE(Master_Data[Imp. Level])</f>
        <v>4.03125</v>
      </c>
      <c r="S6" s="61">
        <f>AVERAGE(Master_Data[Reqd. Prac.])</f>
        <v>4.375</v>
      </c>
      <c r="T6" s="62">
        <f>AVERAGE(Master_Data[Duration (hh:mm)])</f>
        <v>0.22749565972222222</v>
      </c>
      <c r="W6" s="49"/>
    </row>
    <row r="7" spans="1:36" ht="20.149999999999999" customHeight="1" x14ac:dyDescent="0.3">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0">
        <v>23</v>
      </c>
      <c r="AE7" s="10">
        <v>24</v>
      </c>
      <c r="AF7" s="1"/>
      <c r="AG7" s="1"/>
      <c r="AH7" s="1"/>
    </row>
    <row r="8" spans="1:36" s="26" customFormat="1" ht="46.5" x14ac:dyDescent="0.35">
      <c r="B8" s="69" t="s">
        <v>14</v>
      </c>
      <c r="C8" s="69" t="s">
        <v>143</v>
      </c>
      <c r="D8" s="69" t="s">
        <v>132</v>
      </c>
      <c r="E8" s="69" t="s">
        <v>130</v>
      </c>
      <c r="F8" s="69" t="s">
        <v>212</v>
      </c>
      <c r="G8" s="69" t="s">
        <v>213</v>
      </c>
      <c r="H8" s="69" t="s">
        <v>3</v>
      </c>
      <c r="I8" s="69" t="s">
        <v>4</v>
      </c>
      <c r="J8" s="8" t="s">
        <v>110</v>
      </c>
      <c r="K8" s="8" t="s">
        <v>5</v>
      </c>
      <c r="L8" s="8" t="s">
        <v>153</v>
      </c>
      <c r="M8" s="8" t="s">
        <v>73</v>
      </c>
      <c r="N8" s="8" t="s">
        <v>97</v>
      </c>
      <c r="O8" s="8" t="s">
        <v>98</v>
      </c>
      <c r="P8" s="8" t="s">
        <v>99</v>
      </c>
      <c r="Q8" s="8" t="s">
        <v>71</v>
      </c>
      <c r="R8" s="8" t="s">
        <v>100</v>
      </c>
      <c r="S8" s="8" t="s">
        <v>101</v>
      </c>
      <c r="T8" s="8" t="s">
        <v>35</v>
      </c>
      <c r="U8" s="8" t="s">
        <v>102</v>
      </c>
      <c r="V8" s="8" t="s">
        <v>25</v>
      </c>
      <c r="W8" s="8" t="s">
        <v>26</v>
      </c>
      <c r="X8" s="8" t="s">
        <v>105</v>
      </c>
      <c r="Y8" s="8" t="s">
        <v>103</v>
      </c>
      <c r="Z8" s="8" t="s">
        <v>28</v>
      </c>
      <c r="AA8" s="8" t="s">
        <v>104</v>
      </c>
      <c r="AB8" s="8" t="s">
        <v>106</v>
      </c>
      <c r="AC8" s="8" t="s">
        <v>107</v>
      </c>
      <c r="AD8" s="8" t="s">
        <v>112</v>
      </c>
      <c r="AE8" s="8" t="s">
        <v>94</v>
      </c>
      <c r="AF8" s="8" t="s">
        <v>115</v>
      </c>
      <c r="AG8" s="8" t="s">
        <v>116</v>
      </c>
      <c r="AH8" s="8" t="s">
        <v>117</v>
      </c>
      <c r="AI8" s="8" t="s">
        <v>21</v>
      </c>
      <c r="AJ8" s="8" t="s">
        <v>113</v>
      </c>
    </row>
    <row r="9" spans="1:36" ht="27" customHeight="1" x14ac:dyDescent="0.3">
      <c r="B9" s="3">
        <v>1.1000000000000001</v>
      </c>
      <c r="C9" s="168" t="str">
        <f ca="1">IF(Master_Data[[#This Row],[Column1]]="Done","",IF(Master_Data[[#This Row],[Column1]]=MIN(Master_Data[Column1]),"Current Week",CONCATENATE("Week ",Master_Data[[#This Row],[Column1]])))</f>
        <v>Current Week</v>
      </c>
      <c r="D9" s="3">
        <f ca="1">IF(Master_Data[[#This Row],[Cum. Undone hrs]]=0,"Done",ROUNDUP(Master_Data[[#This Row],[Cum. Undone hrs]]/Working!$C$8,0))</f>
        <v>3</v>
      </c>
      <c r="E9" s="3" t="e">
        <f ca="1">IF(OR(D9=D8,D9=D8+1),Master_Data[[#This Row],[Column1]],D9-1)</f>
        <v>#VALUE!</v>
      </c>
      <c r="F9" s="15">
        <f>SUM($G$9:G9)</f>
        <v>0.4777777777777778</v>
      </c>
      <c r="G9" s="24">
        <f>IF(Master_Data[[#This Row],[Lectures]]="D","",Master_Data[[#This Row],[Duration (hh:mm)]])</f>
        <v>0.4777777777777778</v>
      </c>
      <c r="H9" s="2" t="s">
        <v>170</v>
      </c>
      <c r="I9" s="2">
        <v>6</v>
      </c>
      <c r="J9" s="2" t="s">
        <v>111</v>
      </c>
      <c r="K9" s="39" t="s">
        <v>189</v>
      </c>
      <c r="L9" s="252">
        <v>1</v>
      </c>
      <c r="M9" s="16">
        <v>10</v>
      </c>
      <c r="N9" s="38">
        <v>4</v>
      </c>
      <c r="O9" s="38">
        <v>5</v>
      </c>
      <c r="P9" s="38">
        <v>4</v>
      </c>
      <c r="Q9" s="38">
        <v>4</v>
      </c>
      <c r="R9" s="38">
        <v>5</v>
      </c>
      <c r="S9" s="38">
        <v>4</v>
      </c>
      <c r="T9" s="13">
        <v>0.4777777777777778</v>
      </c>
      <c r="U9" s="37">
        <f>(SUM($T$9:T9)/$T$4)*100</f>
        <v>6.5630067728703629</v>
      </c>
      <c r="V9" s="25" t="s">
        <v>6</v>
      </c>
      <c r="W9" s="25" t="s">
        <v>6</v>
      </c>
      <c r="X9" s="25" t="s">
        <v>6</v>
      </c>
      <c r="Y9" s="25" t="s">
        <v>6</v>
      </c>
      <c r="Z9" s="25" t="s">
        <v>6</v>
      </c>
      <c r="AA9" s="25" t="s">
        <v>6</v>
      </c>
      <c r="AB9" s="25" t="s">
        <v>6</v>
      </c>
      <c r="AC9" s="25" t="s">
        <v>6</v>
      </c>
      <c r="AD9" s="148">
        <v>2</v>
      </c>
      <c r="AE9" s="18"/>
      <c r="AF9" s="163">
        <f t="shared" ref="AF9:AF40" si="0">R9/SUM($R$9:$R$40)</f>
        <v>3.875968992248062E-2</v>
      </c>
      <c r="AG9" s="164">
        <f>Master_Data[[#This Row],[Imp. Level]]/SUMIF(Master_Data[Subject],Master_Data[[#This Row],[Subject]],Master_Data[Imp. Level])</f>
        <v>0.55555555555555558</v>
      </c>
      <c r="AH9" s="146">
        <f>Master_Data[[#This Row],[Subjectwise weights]]*Master_Data[[#This Row],[Confidence Level]]</f>
        <v>1.1111111111111112</v>
      </c>
      <c r="AI9" s="147" t="str">
        <f>IF(AND(Master_Data[[#This Row],[Inst. EOC Ques.]]="D",Master_Data[[#This Row],[Prac. Book]]="D"),"D","U")</f>
        <v>U</v>
      </c>
      <c r="AJ9" s="147" t="str">
        <f>IF(AND(Master_Data[[#This Row],[Inst. Online Portal]]="D",Master_Data[[#This Row],[Schweser Prac. Bk 1]]="D",Master_Data[[#This Row],[Schweser Prac. Bk 2]]="D"),"D","U")</f>
        <v>U</v>
      </c>
    </row>
    <row r="10" spans="1:36" ht="27" customHeight="1" x14ac:dyDescent="0.3">
      <c r="B10" s="3">
        <v>2.1</v>
      </c>
      <c r="C10" s="168" t="str">
        <f ca="1">IF(Master_Data[[#This Row],[Column1]]="Done","",IF(Master_Data[[#This Row],[Column1]]=MIN(Master_Data[Column1]),"Current Week",CONCATENATE("Week ",Master_Data[[#This Row],[Column1]])))</f>
        <v>Week 5</v>
      </c>
      <c r="D10" s="3">
        <f ca="1">IF(Master_Data[[#This Row],[Cum. Undone hrs]]=0,"Done",ROUNDUP(Master_Data[[#This Row],[Cum. Undone hrs]]/Working!$C$8,0))</f>
        <v>5</v>
      </c>
      <c r="E10" s="3">
        <f ca="1">IF(OR(D10=D9,D10=D9+1),Master_Data[[#This Row],[Column1]],D10-1)</f>
        <v>4</v>
      </c>
      <c r="F10" s="15">
        <f>SUM($G$9:G10)</f>
        <v>0.89236111111111116</v>
      </c>
      <c r="G10" s="24">
        <f>IF(Master_Data[[#This Row],[Lectures]]="D","",Master_Data[[#This Row],[Duration (hh:mm)]])</f>
        <v>0.4145833333333333</v>
      </c>
      <c r="H10" s="2" t="s">
        <v>170</v>
      </c>
      <c r="I10" s="2">
        <v>7</v>
      </c>
      <c r="J10" s="2" t="s">
        <v>111</v>
      </c>
      <c r="K10" s="39" t="s">
        <v>171</v>
      </c>
      <c r="L10" s="252">
        <v>1</v>
      </c>
      <c r="M10" s="16">
        <v>6</v>
      </c>
      <c r="N10" s="38">
        <v>3</v>
      </c>
      <c r="O10" s="38">
        <v>5</v>
      </c>
      <c r="P10" s="38">
        <v>4</v>
      </c>
      <c r="Q10" s="38">
        <v>5</v>
      </c>
      <c r="R10" s="38">
        <v>4</v>
      </c>
      <c r="S10" s="38">
        <v>5</v>
      </c>
      <c r="T10" s="11">
        <v>0.4145833333333333</v>
      </c>
      <c r="U10" s="37">
        <f>(SUM($T$9:T10)/$T$4)*100</f>
        <v>12.257941428980255</v>
      </c>
      <c r="V10" s="25" t="s">
        <v>6</v>
      </c>
      <c r="W10" s="25" t="s">
        <v>6</v>
      </c>
      <c r="X10" s="25" t="s">
        <v>6</v>
      </c>
      <c r="Y10" s="25" t="s">
        <v>6</v>
      </c>
      <c r="Z10" s="25" t="s">
        <v>6</v>
      </c>
      <c r="AA10" s="25" t="s">
        <v>6</v>
      </c>
      <c r="AB10" s="25" t="s">
        <v>6</v>
      </c>
      <c r="AC10" s="25" t="s">
        <v>6</v>
      </c>
      <c r="AD10" s="148">
        <v>2</v>
      </c>
      <c r="AE10" s="17"/>
      <c r="AF10" s="163">
        <f t="shared" si="0"/>
        <v>3.1007751937984496E-2</v>
      </c>
      <c r="AG10" s="164">
        <f>Master_Data[[#This Row],[Imp. Level]]/SUMIF(Master_Data[Subject],Master_Data[[#This Row],[Subject]],Master_Data[Imp. Level])</f>
        <v>0.44444444444444442</v>
      </c>
      <c r="AH10" s="146">
        <f>Master_Data[[#This Row],[Subjectwise weights]]*Master_Data[[#This Row],[Confidence Level]]</f>
        <v>0.88888888888888884</v>
      </c>
      <c r="AI10" s="147" t="str">
        <f>IF(AND(Master_Data[[#This Row],[Inst. EOC Ques.]]="D",Master_Data[[#This Row],[Prac. Book]]="D"),"D","U")</f>
        <v>U</v>
      </c>
      <c r="AJ10" s="147" t="str">
        <f>IF(AND(Master_Data[[#This Row],[Inst. Online Portal]]="D",Master_Data[[#This Row],[Schweser Prac. Bk 1]]="D",Master_Data[[#This Row],[Schweser Prac. Bk 2]]="D"),"D","U")</f>
        <v>U</v>
      </c>
    </row>
    <row r="11" spans="1:36" ht="27" customHeight="1" x14ac:dyDescent="0.3">
      <c r="B11" s="3">
        <v>3.1</v>
      </c>
      <c r="C11" s="168" t="str">
        <f ca="1">IF(Master_Data[[#This Row],[Column1]]="Done","",IF(Master_Data[[#This Row],[Column1]]=MIN(Master_Data[Column1]),"Current Week",CONCATENATE("Week ",Master_Data[[#This Row],[Column1]])))</f>
        <v>Week 6</v>
      </c>
      <c r="D11" s="3">
        <f ca="1">IF(Master_Data[[#This Row],[Cum. Undone hrs]]=0,"Done",ROUNDUP(Master_Data[[#This Row],[Cum. Undone hrs]]/Working!$C$8,0))</f>
        <v>6</v>
      </c>
      <c r="E11" s="3">
        <f ca="1">IF(OR(D11=D10,D11=D10+1),Master_Data[[#This Row],[Column1]],D11-1)</f>
        <v>6</v>
      </c>
      <c r="F11" s="15">
        <f>SUM($G$9:G11)</f>
        <v>1.1569444444444446</v>
      </c>
      <c r="G11" s="24">
        <f>IF(Master_Data[[#This Row],[Lectures]]="D","",Master_Data[[#This Row],[Duration (hh:mm)]])</f>
        <v>0.26458333333333334</v>
      </c>
      <c r="H11" s="2" t="s">
        <v>10</v>
      </c>
      <c r="I11" s="2">
        <v>8</v>
      </c>
      <c r="J11" s="2" t="s">
        <v>111</v>
      </c>
      <c r="K11" s="39" t="s">
        <v>201</v>
      </c>
      <c r="L11" s="252">
        <v>1</v>
      </c>
      <c r="M11" s="16">
        <v>9</v>
      </c>
      <c r="N11" s="38">
        <v>5</v>
      </c>
      <c r="O11" s="38">
        <v>4</v>
      </c>
      <c r="P11" s="38">
        <v>4</v>
      </c>
      <c r="Q11" s="38">
        <v>4</v>
      </c>
      <c r="R11" s="38">
        <v>4</v>
      </c>
      <c r="S11" s="38">
        <v>4</v>
      </c>
      <c r="T11" s="11">
        <v>0.26458333333333334</v>
      </c>
      <c r="U11" s="37">
        <f>(SUM($T$9:T11)/$T$4)*100</f>
        <v>15.892397214537826</v>
      </c>
      <c r="V11" s="25" t="s">
        <v>6</v>
      </c>
      <c r="W11" s="25" t="s">
        <v>6</v>
      </c>
      <c r="X11" s="25" t="s">
        <v>6</v>
      </c>
      <c r="Y11" s="25" t="s">
        <v>6</v>
      </c>
      <c r="Z11" s="25" t="s">
        <v>6</v>
      </c>
      <c r="AA11" s="25" t="s">
        <v>6</v>
      </c>
      <c r="AB11" s="25" t="s">
        <v>6</v>
      </c>
      <c r="AC11" s="25" t="s">
        <v>6</v>
      </c>
      <c r="AD11" s="148">
        <v>2</v>
      </c>
      <c r="AE11" s="17"/>
      <c r="AF11" s="163">
        <f t="shared" si="0"/>
        <v>3.1007751937984496E-2</v>
      </c>
      <c r="AG11" s="164">
        <f>Master_Data[[#This Row],[Imp. Level]]/SUMIF(Master_Data[Subject],Master_Data[[#This Row],[Subject]],Master_Data[Imp. Level])</f>
        <v>0.33333333333333331</v>
      </c>
      <c r="AH11" s="146">
        <f>Master_Data[[#This Row],[Subjectwise weights]]*Master_Data[[#This Row],[Confidence Level]]</f>
        <v>0.66666666666666663</v>
      </c>
      <c r="AI11" s="147" t="str">
        <f>IF(AND(Master_Data[[#This Row],[Inst. EOC Ques.]]="D",Master_Data[[#This Row],[Prac. Book]]="D"),"D","U")</f>
        <v>U</v>
      </c>
      <c r="AJ11" s="147" t="str">
        <f>IF(AND(Master_Data[[#This Row],[Inst. Online Portal]]="D",Master_Data[[#This Row],[Schweser Prac. Bk 1]]="D",Master_Data[[#This Row],[Schweser Prac. Bk 2]]="D"),"D","U")</f>
        <v>U</v>
      </c>
    </row>
    <row r="12" spans="1:36" ht="27" customHeight="1" x14ac:dyDescent="0.3">
      <c r="B12" s="3">
        <v>4.0999999999999996</v>
      </c>
      <c r="C12" s="168" t="str">
        <f ca="1">IF(Master_Data[[#This Row],[Column1]]="Done","",IF(Master_Data[[#This Row],[Column1]]=MIN(Master_Data[Column1]),"Current Week",CONCATENATE("Week ",Master_Data[[#This Row],[Column1]])))</f>
        <v>Week 7</v>
      </c>
      <c r="D12" s="3">
        <f ca="1">IF(Master_Data[[#This Row],[Cum. Undone hrs]]=0,"Done",ROUNDUP(Master_Data[[#This Row],[Cum. Undone hrs]]/Working!$C$8,0))</f>
        <v>7</v>
      </c>
      <c r="E12" s="3">
        <f ca="1">IF(OR(D12=D11,D12=D11+1),Master_Data[[#This Row],[Column1]],D12-1)</f>
        <v>7</v>
      </c>
      <c r="F12" s="15">
        <f>SUM($G$9:G12)</f>
        <v>1.3298611111111112</v>
      </c>
      <c r="G12" s="24">
        <f>IF(Master_Data[[#This Row],[Lectures]]="D","",Master_Data[[#This Row],[Duration (hh:mm)]])</f>
        <v>0.17291666666666669</v>
      </c>
      <c r="H12" s="2" t="s">
        <v>198</v>
      </c>
      <c r="I12" s="2">
        <v>3</v>
      </c>
      <c r="J12" s="2" t="s">
        <v>111</v>
      </c>
      <c r="K12" s="39" t="s">
        <v>172</v>
      </c>
      <c r="L12" s="252">
        <v>1</v>
      </c>
      <c r="M12" s="16">
        <v>10</v>
      </c>
      <c r="N12" s="38">
        <v>2</v>
      </c>
      <c r="O12" s="38">
        <v>1</v>
      </c>
      <c r="P12" s="38">
        <v>2</v>
      </c>
      <c r="Q12" s="38">
        <v>3</v>
      </c>
      <c r="R12" s="38">
        <v>3</v>
      </c>
      <c r="S12" s="38">
        <v>3</v>
      </c>
      <c r="T12" s="13">
        <v>0.17291666666666669</v>
      </c>
      <c r="U12" s="37">
        <f>(SUM($T$9:T12)/$T$4)*100</f>
        <v>18.267671468091194</v>
      </c>
      <c r="V12" s="25" t="s">
        <v>6</v>
      </c>
      <c r="W12" s="25" t="s">
        <v>6</v>
      </c>
      <c r="X12" s="25" t="s">
        <v>6</v>
      </c>
      <c r="Y12" s="25" t="s">
        <v>6</v>
      </c>
      <c r="Z12" s="25" t="s">
        <v>6</v>
      </c>
      <c r="AA12" s="25" t="s">
        <v>6</v>
      </c>
      <c r="AB12" s="25" t="s">
        <v>6</v>
      </c>
      <c r="AC12" s="25" t="s">
        <v>6</v>
      </c>
      <c r="AD12" s="148">
        <v>3</v>
      </c>
      <c r="AE12" s="17"/>
      <c r="AF12" s="163">
        <f t="shared" si="0"/>
        <v>2.3255813953488372E-2</v>
      </c>
      <c r="AG12" s="164">
        <f>Master_Data[[#This Row],[Imp. Level]]/SUMIF(Master_Data[Subject],Master_Data[[#This Row],[Subject]],Master_Data[Imp. Level])</f>
        <v>0.14285714285714285</v>
      </c>
      <c r="AH12" s="146">
        <f>Master_Data[[#This Row],[Subjectwise weights]]*Master_Data[[#This Row],[Confidence Level]]</f>
        <v>0.42857142857142855</v>
      </c>
      <c r="AI12" s="147" t="str">
        <f>IF(AND(Master_Data[[#This Row],[Inst. EOC Ques.]]="D",Master_Data[[#This Row],[Prac. Book]]="D"),"D","U")</f>
        <v>U</v>
      </c>
      <c r="AJ12" s="147" t="str">
        <f>IF(AND(Master_Data[[#This Row],[Inst. Online Portal]]="D",Master_Data[[#This Row],[Schweser Prac. Bk 1]]="D",Master_Data[[#This Row],[Schweser Prac. Bk 2]]="D"),"D","U")</f>
        <v>U</v>
      </c>
    </row>
    <row r="13" spans="1:36" ht="27" customHeight="1" x14ac:dyDescent="0.3">
      <c r="B13" s="3">
        <v>5.0999999999999996</v>
      </c>
      <c r="C13" s="168" t="str">
        <f ca="1">IF(Master_Data[[#This Row],[Column1]]="Done","",IF(Master_Data[[#This Row],[Column1]]=MIN(Master_Data[Column1]),"Current Week",CONCATENATE("Week ",Master_Data[[#This Row],[Column1]])))</f>
        <v>Week 7</v>
      </c>
      <c r="D13" s="3">
        <f ca="1">IF(Master_Data[[#This Row],[Cum. Undone hrs]]=0,"Done",ROUNDUP(Master_Data[[#This Row],[Cum. Undone hrs]]/Working!$C$8,0))</f>
        <v>7</v>
      </c>
      <c r="E13" s="3">
        <f ca="1">IF(OR(D13=D12,D13=D12+1),Master_Data[[#This Row],[Column1]],D13-1)</f>
        <v>7</v>
      </c>
      <c r="F13" s="15">
        <f>SUM($G$9:G13)</f>
        <v>1.4486111111111111</v>
      </c>
      <c r="G13" s="24">
        <f>IF(Master_Data[[#This Row],[Lectures]]="D","",Master_Data[[#This Row],[Duration (hh:mm)]])</f>
        <v>0.11875000000000001</v>
      </c>
      <c r="H13" s="2" t="s">
        <v>198</v>
      </c>
      <c r="I13" s="2">
        <v>4</v>
      </c>
      <c r="J13" s="2" t="s">
        <v>110</v>
      </c>
      <c r="K13" s="39" t="s">
        <v>173</v>
      </c>
      <c r="L13" s="252">
        <v>1</v>
      </c>
      <c r="M13" s="16">
        <v>15</v>
      </c>
      <c r="N13" s="38">
        <v>2</v>
      </c>
      <c r="O13" s="38">
        <v>2</v>
      </c>
      <c r="P13" s="38">
        <v>3</v>
      </c>
      <c r="Q13" s="38">
        <v>3</v>
      </c>
      <c r="R13" s="38">
        <v>3</v>
      </c>
      <c r="S13" s="38">
        <v>4</v>
      </c>
      <c r="T13" s="13">
        <v>0.11875000000000001</v>
      </c>
      <c r="U13" s="37">
        <f>(SUM($T$9:T13)/$T$4)*100</f>
        <v>19.898883907278449</v>
      </c>
      <c r="V13" s="25" t="s">
        <v>6</v>
      </c>
      <c r="W13" s="25" t="s">
        <v>6</v>
      </c>
      <c r="X13" s="25" t="s">
        <v>6</v>
      </c>
      <c r="Y13" s="25" t="s">
        <v>6</v>
      </c>
      <c r="Z13" s="25" t="s">
        <v>6</v>
      </c>
      <c r="AA13" s="25" t="s">
        <v>6</v>
      </c>
      <c r="AB13" s="25" t="s">
        <v>6</v>
      </c>
      <c r="AC13" s="25" t="s">
        <v>6</v>
      </c>
      <c r="AD13" s="148">
        <v>2</v>
      </c>
      <c r="AE13" s="17"/>
      <c r="AF13" s="163">
        <f t="shared" si="0"/>
        <v>2.3255813953488372E-2</v>
      </c>
      <c r="AG13" s="164">
        <f>Master_Data[[#This Row],[Imp. Level]]/SUMIF(Master_Data[Subject],Master_Data[[#This Row],[Subject]],Master_Data[Imp. Level])</f>
        <v>0.14285714285714285</v>
      </c>
      <c r="AH13" s="146">
        <f>Master_Data[[#This Row],[Subjectwise weights]]*Master_Data[[#This Row],[Confidence Level]]</f>
        <v>0.2857142857142857</v>
      </c>
      <c r="AI13" s="147" t="str">
        <f>IF(AND(Master_Data[[#This Row],[Inst. EOC Ques.]]="D",Master_Data[[#This Row],[Prac. Book]]="D"),"D","U")</f>
        <v>U</v>
      </c>
      <c r="AJ13" s="147" t="str">
        <f>IF(AND(Master_Data[[#This Row],[Inst. Online Portal]]="D",Master_Data[[#This Row],[Schweser Prac. Bk 1]]="D",Master_Data[[#This Row],[Schweser Prac. Bk 2]]="D"),"D","U")</f>
        <v>U</v>
      </c>
    </row>
    <row r="14" spans="1:36" ht="27" customHeight="1" x14ac:dyDescent="0.3">
      <c r="B14" s="3">
        <v>6.1</v>
      </c>
      <c r="C14" s="168" t="str">
        <f ca="1">IF(Master_Data[[#This Row],[Column1]]="Done","",IF(Master_Data[[#This Row],[Column1]]=MIN(Master_Data[Column1]),"Current Week",CONCATENATE("Week ",Master_Data[[#This Row],[Column1]])))</f>
        <v>Week 8</v>
      </c>
      <c r="D14" s="3">
        <f ca="1">IF(Master_Data[[#This Row],[Cum. Undone hrs]]=0,"Done",ROUNDUP(Master_Data[[#This Row],[Cum. Undone hrs]]/Working!$C$8,0))</f>
        <v>8</v>
      </c>
      <c r="E14" s="3">
        <f ca="1">IF(OR(D14=D13,D14=D13+1),Master_Data[[#This Row],[Column1]],D14-1)</f>
        <v>8</v>
      </c>
      <c r="F14" s="15">
        <f>SUM($G$9:G14)</f>
        <v>1.5465277777777777</v>
      </c>
      <c r="G14" s="24">
        <f>IF(Master_Data[[#This Row],[Lectures]]="D","",Master_Data[[#This Row],[Duration (hh:mm)]])</f>
        <v>9.7916666666666666E-2</v>
      </c>
      <c r="H14" s="2" t="s">
        <v>198</v>
      </c>
      <c r="I14" s="2">
        <v>5</v>
      </c>
      <c r="J14" s="2" t="s">
        <v>111</v>
      </c>
      <c r="K14" s="39" t="s">
        <v>174</v>
      </c>
      <c r="L14" s="252">
        <v>1</v>
      </c>
      <c r="M14" s="16">
        <v>5</v>
      </c>
      <c r="N14" s="38">
        <v>2</v>
      </c>
      <c r="O14" s="38">
        <v>2</v>
      </c>
      <c r="P14" s="38">
        <v>3</v>
      </c>
      <c r="Q14" s="38">
        <v>3</v>
      </c>
      <c r="R14" s="38">
        <v>3</v>
      </c>
      <c r="S14" s="38">
        <v>4</v>
      </c>
      <c r="T14" s="13">
        <v>9.7916666666666666E-2</v>
      </c>
      <c r="U14" s="37">
        <f>(SUM($T$9:T14)/$T$4)*100</f>
        <v>21.243918725555659</v>
      </c>
      <c r="V14" s="25" t="s">
        <v>6</v>
      </c>
      <c r="W14" s="25" t="s">
        <v>6</v>
      </c>
      <c r="X14" s="25" t="s">
        <v>6</v>
      </c>
      <c r="Y14" s="25" t="s">
        <v>6</v>
      </c>
      <c r="Z14" s="25" t="s">
        <v>6</v>
      </c>
      <c r="AA14" s="25" t="s">
        <v>6</v>
      </c>
      <c r="AB14" s="25" t="s">
        <v>6</v>
      </c>
      <c r="AC14" s="25" t="s">
        <v>6</v>
      </c>
      <c r="AD14" s="148">
        <v>2</v>
      </c>
      <c r="AE14" s="17"/>
      <c r="AF14" s="163">
        <f t="shared" si="0"/>
        <v>2.3255813953488372E-2</v>
      </c>
      <c r="AG14" s="164">
        <f>Master_Data[[#This Row],[Imp. Level]]/SUMIF(Master_Data[Subject],Master_Data[[#This Row],[Subject]],Master_Data[Imp. Level])</f>
        <v>0.14285714285714285</v>
      </c>
      <c r="AH14" s="146">
        <f>Master_Data[[#This Row],[Subjectwise weights]]*Master_Data[[#This Row],[Confidence Level]]</f>
        <v>0.2857142857142857</v>
      </c>
      <c r="AI14" s="147" t="str">
        <f>IF(AND(Master_Data[[#This Row],[Inst. EOC Ques.]]="D",Master_Data[[#This Row],[Prac. Book]]="D"),"D","U")</f>
        <v>U</v>
      </c>
      <c r="AJ14" s="147" t="str">
        <f>IF(AND(Master_Data[[#This Row],[Inst. Online Portal]]="D",Master_Data[[#This Row],[Schweser Prac. Bk 1]]="D",Master_Data[[#This Row],[Schweser Prac. Bk 2]]="D"),"D","U")</f>
        <v>U</v>
      </c>
    </row>
    <row r="15" spans="1:36" ht="27" customHeight="1" x14ac:dyDescent="0.3">
      <c r="B15" s="3">
        <v>7.1</v>
      </c>
      <c r="C15" s="168" t="str">
        <f ca="1">IF(Master_Data[[#This Row],[Column1]]="Done","",IF(Master_Data[[#This Row],[Column1]]=MIN(Master_Data[Column1]),"Current Week",CONCATENATE("Week ",Master_Data[[#This Row],[Column1]])))</f>
        <v>Week 9</v>
      </c>
      <c r="D15" s="3">
        <f ca="1">IF(Master_Data[[#This Row],[Cum. Undone hrs]]=0,"Done",ROUNDUP(Master_Data[[#This Row],[Cum. Undone hrs]]/Working!$C$8,0))</f>
        <v>9</v>
      </c>
      <c r="E15" s="3">
        <f ca="1">IF(OR(D15=D14,D15=D14+1),Master_Data[[#This Row],[Column1]],D15-1)</f>
        <v>9</v>
      </c>
      <c r="F15" s="15">
        <f>SUM($G$9:G15)</f>
        <v>1.7631944444444443</v>
      </c>
      <c r="G15" s="24">
        <f>IF(Master_Data[[#This Row],[Lectures]]="D","",Master_Data[[#This Row],[Duration (hh:mm)]])</f>
        <v>0.21666666666666667</v>
      </c>
      <c r="H15" s="2" t="s">
        <v>12</v>
      </c>
      <c r="I15" s="2">
        <v>9</v>
      </c>
      <c r="J15" s="2" t="s">
        <v>111</v>
      </c>
      <c r="K15" s="39" t="s">
        <v>175</v>
      </c>
      <c r="L15" s="252">
        <v>1</v>
      </c>
      <c r="M15" s="16">
        <v>6</v>
      </c>
      <c r="N15" s="38">
        <v>4</v>
      </c>
      <c r="O15" s="38">
        <v>2</v>
      </c>
      <c r="P15" s="38">
        <v>4</v>
      </c>
      <c r="Q15" s="38">
        <v>4</v>
      </c>
      <c r="R15" s="38">
        <v>4</v>
      </c>
      <c r="S15" s="38">
        <v>4</v>
      </c>
      <c r="T15" s="13">
        <v>0.21666666666666667</v>
      </c>
      <c r="U15" s="37">
        <f>(SUM($T$9:T15)/$T$4)*100</f>
        <v>24.220165983020124</v>
      </c>
      <c r="V15" s="25" t="s">
        <v>6</v>
      </c>
      <c r="W15" s="25" t="s">
        <v>6</v>
      </c>
      <c r="X15" s="25" t="s">
        <v>6</v>
      </c>
      <c r="Y15" s="25" t="s">
        <v>6</v>
      </c>
      <c r="Z15" s="25" t="s">
        <v>6</v>
      </c>
      <c r="AA15" s="25" t="s">
        <v>6</v>
      </c>
      <c r="AB15" s="25" t="s">
        <v>6</v>
      </c>
      <c r="AC15" s="25" t="s">
        <v>6</v>
      </c>
      <c r="AD15" s="148">
        <v>2</v>
      </c>
      <c r="AE15" s="17"/>
      <c r="AF15" s="163">
        <f t="shared" si="0"/>
        <v>3.1007751937984496E-2</v>
      </c>
      <c r="AG15" s="164">
        <f>Master_Data[[#This Row],[Imp. Level]]/SUMIF(Master_Data[Subject],Master_Data[[#This Row],[Subject]],Master_Data[Imp. Level])</f>
        <v>0.22222222222222221</v>
      </c>
      <c r="AH15" s="146">
        <f>Master_Data[[#This Row],[Subjectwise weights]]*Master_Data[[#This Row],[Confidence Level]]</f>
        <v>0.44444444444444442</v>
      </c>
      <c r="AI15" s="147" t="str">
        <f>IF(AND(Master_Data[[#This Row],[Inst. EOC Ques.]]="D",Master_Data[[#This Row],[Prac. Book]]="D"),"D","U")</f>
        <v>U</v>
      </c>
      <c r="AJ15" s="147" t="str">
        <f>IF(AND(Master_Data[[#This Row],[Inst. Online Portal]]="D",Master_Data[[#This Row],[Schweser Prac. Bk 1]]="D",Master_Data[[#This Row],[Schweser Prac. Bk 2]]="D"),"D","U")</f>
        <v>U</v>
      </c>
    </row>
    <row r="16" spans="1:36" ht="27" customHeight="1" x14ac:dyDescent="0.3">
      <c r="B16" s="3">
        <v>8.1</v>
      </c>
      <c r="C16" s="168" t="str">
        <f ca="1">IF(Master_Data[[#This Row],[Column1]]="Done","",IF(Master_Data[[#This Row],[Column1]]=MIN(Master_Data[Column1]),"Current Week",CONCATENATE("Week ",Master_Data[[#This Row],[Column1]])))</f>
        <v>Week 10</v>
      </c>
      <c r="D16" s="3">
        <f ca="1">IF(Master_Data[[#This Row],[Cum. Undone hrs]]=0,"Done",ROUNDUP(Master_Data[[#This Row],[Cum. Undone hrs]]/Working!$C$8,0))</f>
        <v>10</v>
      </c>
      <c r="E16" s="3">
        <f ca="1">IF(OR(D16=D15,D16=D15+1),Master_Data[[#This Row],[Column1]],D16-1)</f>
        <v>10</v>
      </c>
      <c r="F16" s="15">
        <f>SUM($G$9:G16)</f>
        <v>2.0597222222222222</v>
      </c>
      <c r="G16" s="24">
        <f>IF(Master_Data[[#This Row],[Lectures]]="D","",Master_Data[[#This Row],[Duration (hh:mm)]])</f>
        <v>0.29652777777777778</v>
      </c>
      <c r="H16" s="2" t="s">
        <v>12</v>
      </c>
      <c r="I16" s="2">
        <v>10</v>
      </c>
      <c r="J16" s="2" t="s">
        <v>111</v>
      </c>
      <c r="K16" s="39" t="s">
        <v>205</v>
      </c>
      <c r="L16" s="252">
        <v>1</v>
      </c>
      <c r="M16" s="16">
        <v>9</v>
      </c>
      <c r="N16" s="38">
        <v>5</v>
      </c>
      <c r="O16" s="38">
        <v>3</v>
      </c>
      <c r="P16" s="38">
        <v>5</v>
      </c>
      <c r="Q16" s="38">
        <v>5</v>
      </c>
      <c r="R16" s="38">
        <v>5</v>
      </c>
      <c r="S16" s="38">
        <v>5</v>
      </c>
      <c r="T16" s="14">
        <v>0.29652777777777778</v>
      </c>
      <c r="U16" s="37">
        <f>(SUM($T$9:T16)/$T$4)*100</f>
        <v>28.293427453973102</v>
      </c>
      <c r="V16" s="25" t="s">
        <v>6</v>
      </c>
      <c r="W16" s="25" t="s">
        <v>6</v>
      </c>
      <c r="X16" s="25" t="s">
        <v>6</v>
      </c>
      <c r="Y16" s="25" t="s">
        <v>6</v>
      </c>
      <c r="Z16" s="25" t="s">
        <v>6</v>
      </c>
      <c r="AA16" s="25" t="s">
        <v>6</v>
      </c>
      <c r="AB16" s="25" t="s">
        <v>6</v>
      </c>
      <c r="AC16" s="25" t="s">
        <v>6</v>
      </c>
      <c r="AD16" s="148">
        <v>3</v>
      </c>
      <c r="AE16" s="17"/>
      <c r="AF16" s="163">
        <f t="shared" si="0"/>
        <v>3.875968992248062E-2</v>
      </c>
      <c r="AG16" s="164">
        <f>Master_Data[[#This Row],[Imp. Level]]/SUMIF(Master_Data[Subject],Master_Data[[#This Row],[Subject]],Master_Data[Imp. Level])</f>
        <v>0.27777777777777779</v>
      </c>
      <c r="AH16" s="146">
        <f>Master_Data[[#This Row],[Subjectwise weights]]*Master_Data[[#This Row],[Confidence Level]]</f>
        <v>0.83333333333333337</v>
      </c>
      <c r="AI16" s="147" t="str">
        <f>IF(AND(Master_Data[[#This Row],[Inst. EOC Ques.]]="D",Master_Data[[#This Row],[Prac. Book]]="D"),"D","U")</f>
        <v>U</v>
      </c>
      <c r="AJ16" s="147" t="str">
        <f>IF(AND(Master_Data[[#This Row],[Inst. Online Portal]]="D",Master_Data[[#This Row],[Schweser Prac. Bk 1]]="D",Master_Data[[#This Row],[Schweser Prac. Bk 2]]="D"),"D","U")</f>
        <v>U</v>
      </c>
    </row>
    <row r="17" spans="2:71" s="36" customFormat="1" ht="27" customHeight="1" x14ac:dyDescent="0.3">
      <c r="B17" s="3">
        <v>9.1</v>
      </c>
      <c r="C17" s="168" t="str">
        <f ca="1">IF(Master_Data[[#This Row],[Column1]]="Done","",IF(Master_Data[[#This Row],[Column1]]=MIN(Master_Data[Column1]),"Current Week",CONCATENATE("Week ",Master_Data[[#This Row],[Column1]])))</f>
        <v>Week 11</v>
      </c>
      <c r="D17" s="3">
        <f ca="1">IF(Master_Data[[#This Row],[Cum. Undone hrs]]=0,"Done",ROUNDUP(Master_Data[[#This Row],[Cum. Undone hrs]]/Working!$C$8,0))</f>
        <v>11</v>
      </c>
      <c r="E17" s="3">
        <f ca="1">IF(OR(D17=D16,D17=D16+1),Master_Data[[#This Row],[Column1]],D17-1)</f>
        <v>11</v>
      </c>
      <c r="F17" s="15">
        <f>SUM($G$9:G17)</f>
        <v>2.2923611111111111</v>
      </c>
      <c r="G17" s="24">
        <f>IF(Master_Data[[#This Row],[Lectures]]="D","",Master_Data[[#This Row],[Duration (hh:mm)]])</f>
        <v>0.23263888888888887</v>
      </c>
      <c r="H17" s="2" t="s">
        <v>12</v>
      </c>
      <c r="I17" s="2">
        <v>11</v>
      </c>
      <c r="J17" s="2" t="s">
        <v>111</v>
      </c>
      <c r="K17" s="39" t="s">
        <v>176</v>
      </c>
      <c r="L17" s="252">
        <v>1</v>
      </c>
      <c r="M17" s="16">
        <v>7</v>
      </c>
      <c r="N17" s="38">
        <v>4</v>
      </c>
      <c r="O17" s="38">
        <v>3</v>
      </c>
      <c r="P17" s="38">
        <v>5</v>
      </c>
      <c r="Q17" s="38">
        <v>5</v>
      </c>
      <c r="R17" s="38">
        <v>5</v>
      </c>
      <c r="S17" s="38">
        <v>5</v>
      </c>
      <c r="T17" s="13">
        <v>0.23263888888888887</v>
      </c>
      <c r="U17" s="37">
        <f>(SUM($T$9:T17)/$T$4)*100</f>
        <v>31.489077554135271</v>
      </c>
      <c r="V17" s="25" t="s">
        <v>6</v>
      </c>
      <c r="W17" s="25" t="s">
        <v>6</v>
      </c>
      <c r="X17" s="25" t="s">
        <v>6</v>
      </c>
      <c r="Y17" s="25" t="s">
        <v>6</v>
      </c>
      <c r="Z17" s="25" t="s">
        <v>6</v>
      </c>
      <c r="AA17" s="25" t="s">
        <v>6</v>
      </c>
      <c r="AB17" s="25" t="s">
        <v>6</v>
      </c>
      <c r="AC17" s="25" t="s">
        <v>6</v>
      </c>
      <c r="AD17" s="148">
        <v>2</v>
      </c>
      <c r="AE17" s="17"/>
      <c r="AF17" s="163">
        <f t="shared" si="0"/>
        <v>3.875968992248062E-2</v>
      </c>
      <c r="AG17" s="164">
        <f>Master_Data[[#This Row],[Imp. Level]]/SUMIF(Master_Data[Subject],Master_Data[[#This Row],[Subject]],Master_Data[Imp. Level])</f>
        <v>0.27777777777777779</v>
      </c>
      <c r="AH17" s="146">
        <f>Master_Data[[#This Row],[Subjectwise weights]]*Master_Data[[#This Row],[Confidence Level]]</f>
        <v>0.55555555555555558</v>
      </c>
      <c r="AI17" s="147" t="str">
        <f>IF(AND(Master_Data[[#This Row],[Inst. EOC Ques.]]="D",Master_Data[[#This Row],[Prac. Book]]="D"),"D","U")</f>
        <v>U</v>
      </c>
      <c r="AJ17" s="147" t="str">
        <f>IF(AND(Master_Data[[#This Row],[Inst. Online Portal]]="D",Master_Data[[#This Row],[Schweser Prac. Bk 1]]="D",Master_Data[[#This Row],[Schweser Prac. Bk 2]]="D"),"D","U")</f>
        <v>U</v>
      </c>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2:71" ht="27" customHeight="1" x14ac:dyDescent="0.3">
      <c r="B18" s="3">
        <v>10.1</v>
      </c>
      <c r="C18" s="168" t="str">
        <f ca="1">IF(Master_Data[[#This Row],[Column1]]="Done","",IF(Master_Data[[#This Row],[Column1]]=MIN(Master_Data[Column1]),"Current Week",CONCATENATE("Week ",Master_Data[[#This Row],[Column1]])))</f>
        <v>Week 13</v>
      </c>
      <c r="D18" s="3">
        <f ca="1">IF(Master_Data[[#This Row],[Cum. Undone hrs]]=0,"Done",ROUNDUP(Master_Data[[#This Row],[Cum. Undone hrs]]/Working!$C$8,0))</f>
        <v>13</v>
      </c>
      <c r="E18" s="3">
        <f ca="1">IF(OR(D18=D17,D18=D17+1),Master_Data[[#This Row],[Column1]],D18-1)</f>
        <v>12</v>
      </c>
      <c r="F18" s="15">
        <f>SUM($G$9:G18)</f>
        <v>2.6604166666666664</v>
      </c>
      <c r="G18" s="24">
        <f>IF(Master_Data[[#This Row],[Lectures]]="D","",Master_Data[[#This Row],[Duration (hh:mm)]])</f>
        <v>0.36805555555555558</v>
      </c>
      <c r="H18" s="2" t="s">
        <v>12</v>
      </c>
      <c r="I18" s="2">
        <v>12</v>
      </c>
      <c r="J18" s="2" t="s">
        <v>111</v>
      </c>
      <c r="K18" s="39" t="s">
        <v>206</v>
      </c>
      <c r="L18" s="252">
        <v>1</v>
      </c>
      <c r="M18" s="16">
        <v>11</v>
      </c>
      <c r="N18" s="38">
        <v>3</v>
      </c>
      <c r="O18" s="38">
        <v>2</v>
      </c>
      <c r="P18" s="38">
        <v>4</v>
      </c>
      <c r="Q18" s="38">
        <v>4</v>
      </c>
      <c r="R18" s="38">
        <v>4</v>
      </c>
      <c r="S18" s="38">
        <v>4</v>
      </c>
      <c r="T18" s="13">
        <v>0.36805555555555558</v>
      </c>
      <c r="U18" s="37">
        <f>(SUM($T$9:T18)/$T$4)*100</f>
        <v>36.544882190212725</v>
      </c>
      <c r="V18" s="25" t="s">
        <v>6</v>
      </c>
      <c r="W18" s="25" t="s">
        <v>6</v>
      </c>
      <c r="X18" s="25" t="s">
        <v>6</v>
      </c>
      <c r="Y18" s="25" t="s">
        <v>6</v>
      </c>
      <c r="Z18" s="25" t="s">
        <v>6</v>
      </c>
      <c r="AA18" s="25" t="s">
        <v>6</v>
      </c>
      <c r="AB18" s="25" t="s">
        <v>6</v>
      </c>
      <c r="AC18" s="25" t="s">
        <v>6</v>
      </c>
      <c r="AD18" s="148">
        <v>3</v>
      </c>
      <c r="AE18" s="17"/>
      <c r="AF18" s="163">
        <f t="shared" si="0"/>
        <v>3.1007751937984496E-2</v>
      </c>
      <c r="AG18" s="164">
        <f>Master_Data[[#This Row],[Imp. Level]]/SUMIF(Master_Data[Subject],Master_Data[[#This Row],[Subject]],Master_Data[Imp. Level])</f>
        <v>0.22222222222222221</v>
      </c>
      <c r="AH18" s="146">
        <f>Master_Data[[#This Row],[Subjectwise weights]]*Master_Data[[#This Row],[Confidence Level]]</f>
        <v>0.66666666666666663</v>
      </c>
      <c r="AI18" s="147" t="str">
        <f>IF(AND(Master_Data[[#This Row],[Inst. EOC Ques.]]="D",Master_Data[[#This Row],[Prac. Book]]="D"),"D","U")</f>
        <v>U</v>
      </c>
      <c r="AJ18" s="147" t="str">
        <f>IF(AND(Master_Data[[#This Row],[Inst. Online Portal]]="D",Master_Data[[#This Row],[Schweser Prac. Bk 1]]="D",Master_Data[[#This Row],[Schweser Prac. Bk 2]]="D"),"D","U")</f>
        <v>U</v>
      </c>
    </row>
    <row r="19" spans="2:71" ht="27" customHeight="1" x14ac:dyDescent="0.3">
      <c r="B19" s="3">
        <v>11.1</v>
      </c>
      <c r="C19" s="168" t="str">
        <f ca="1">IF(Master_Data[[#This Row],[Column1]]="Done","",IF(Master_Data[[#This Row],[Column1]]=MIN(Master_Data[Column1]),"Current Week",CONCATENATE("Week ",Master_Data[[#This Row],[Column1]])))</f>
        <v>Week 14</v>
      </c>
      <c r="D19" s="3">
        <f ca="1">IF(Master_Data[[#This Row],[Cum. Undone hrs]]=0,"Done",ROUNDUP(Master_Data[[#This Row],[Cum. Undone hrs]]/Working!$C$8,0))</f>
        <v>14</v>
      </c>
      <c r="E19" s="3">
        <f ca="1">IF(OR(D19=D18,D19=D18+1),Master_Data[[#This Row],[Column1]],D19-1)</f>
        <v>14</v>
      </c>
      <c r="F19" s="15">
        <f>SUM($G$9:G19)</f>
        <v>2.8888888888888888</v>
      </c>
      <c r="G19" s="24">
        <f>IF(Master_Data[[#This Row],[Lectures]]="D","",Master_Data[[#This Row],[Duration (hh:mm)]])</f>
        <v>0.22847222222222222</v>
      </c>
      <c r="H19" s="2" t="s">
        <v>197</v>
      </c>
      <c r="I19" s="2">
        <v>19</v>
      </c>
      <c r="J19" s="2" t="s">
        <v>111</v>
      </c>
      <c r="K19" s="39" t="s">
        <v>177</v>
      </c>
      <c r="L19" s="252">
        <v>1</v>
      </c>
      <c r="M19" s="16">
        <v>16</v>
      </c>
      <c r="N19" s="38">
        <v>3</v>
      </c>
      <c r="O19" s="38">
        <v>2</v>
      </c>
      <c r="P19" s="38">
        <v>3</v>
      </c>
      <c r="Q19" s="38">
        <v>4</v>
      </c>
      <c r="R19" s="38">
        <v>5</v>
      </c>
      <c r="S19" s="38">
        <v>5</v>
      </c>
      <c r="T19" s="13">
        <v>0.22847222222222222</v>
      </c>
      <c r="U19" s="37">
        <f>(SUM($T$9:T19)/$T$4)*100</f>
        <v>39.683296766192882</v>
      </c>
      <c r="V19" s="25" t="s">
        <v>6</v>
      </c>
      <c r="W19" s="25" t="s">
        <v>6</v>
      </c>
      <c r="X19" s="25" t="s">
        <v>6</v>
      </c>
      <c r="Y19" s="25" t="s">
        <v>6</v>
      </c>
      <c r="Z19" s="25" t="s">
        <v>6</v>
      </c>
      <c r="AA19" s="25" t="s">
        <v>6</v>
      </c>
      <c r="AB19" s="25" t="s">
        <v>6</v>
      </c>
      <c r="AC19" s="25" t="s">
        <v>6</v>
      </c>
      <c r="AD19" s="148">
        <v>2</v>
      </c>
      <c r="AE19" s="17"/>
      <c r="AF19" s="163">
        <f t="shared" si="0"/>
        <v>3.875968992248062E-2</v>
      </c>
      <c r="AG19" s="164">
        <f>Master_Data[[#This Row],[Imp. Level]]/SUMIF(Master_Data[Subject],Master_Data[[#This Row],[Subject]],Master_Data[Imp. Level])</f>
        <v>0.16666666666666666</v>
      </c>
      <c r="AH19" s="146">
        <f>Master_Data[[#This Row],[Subjectwise weights]]*Master_Data[[#This Row],[Confidence Level]]</f>
        <v>0.33333333333333331</v>
      </c>
      <c r="AI19" s="147" t="str">
        <f>IF(AND(Master_Data[[#This Row],[Inst. EOC Ques.]]="D",Master_Data[[#This Row],[Prac. Book]]="D"),"D","U")</f>
        <v>U</v>
      </c>
      <c r="AJ19" s="147" t="str">
        <f>IF(AND(Master_Data[[#This Row],[Inst. Online Portal]]="D",Master_Data[[#This Row],[Schweser Prac. Bk 1]]="D",Master_Data[[#This Row],[Schweser Prac. Bk 2]]="D"),"D","U")</f>
        <v>U</v>
      </c>
    </row>
    <row r="20" spans="2:71" ht="15.5" x14ac:dyDescent="0.3">
      <c r="B20" s="3">
        <v>12.1</v>
      </c>
      <c r="C20" s="168" t="str">
        <f ca="1">IF(Master_Data[[#This Row],[Column1]]="Done","",IF(Master_Data[[#This Row],[Column1]]=MIN(Master_Data[Column1]),"Current Week",CONCATENATE("Week ",Master_Data[[#This Row],[Column1]])))</f>
        <v>Week 16</v>
      </c>
      <c r="D20" s="3">
        <f ca="1">IF(Master_Data[[#This Row],[Cum. Undone hrs]]=0,"Done",ROUNDUP(Master_Data[[#This Row],[Cum. Undone hrs]]/Working!$C$8,0))</f>
        <v>16</v>
      </c>
      <c r="E20" s="3">
        <f ca="1">IF(OR(D20=D19,D20=D19+1),Master_Data[[#This Row],[Column1]],D20-1)</f>
        <v>15</v>
      </c>
      <c r="F20" s="15">
        <f>SUM($G$9:G20)</f>
        <v>3.2972222222222221</v>
      </c>
      <c r="G20" s="24">
        <f>IF(Master_Data[[#This Row],[Lectures]]="D","",Master_Data[[#This Row],[Duration (hh:mm)]])</f>
        <v>0.40833333333333338</v>
      </c>
      <c r="H20" s="2" t="s">
        <v>197</v>
      </c>
      <c r="I20" s="2">
        <v>20</v>
      </c>
      <c r="J20" s="2" t="s">
        <v>111</v>
      </c>
      <c r="K20" s="39" t="s">
        <v>190</v>
      </c>
      <c r="L20" s="252">
        <v>1</v>
      </c>
      <c r="M20" s="16">
        <v>11</v>
      </c>
      <c r="N20" s="38">
        <v>5</v>
      </c>
      <c r="O20" s="38">
        <v>3</v>
      </c>
      <c r="P20" s="38">
        <v>4</v>
      </c>
      <c r="Q20" s="38">
        <v>4</v>
      </c>
      <c r="R20" s="38">
        <v>5</v>
      </c>
      <c r="S20" s="38">
        <v>5</v>
      </c>
      <c r="T20" s="12">
        <v>0.40833333333333338</v>
      </c>
      <c r="U20" s="37">
        <f>(SUM($T$9:T20)/$T$4)*100</f>
        <v>45.292378136029761</v>
      </c>
      <c r="V20" s="25" t="s">
        <v>6</v>
      </c>
      <c r="W20" s="25" t="s">
        <v>6</v>
      </c>
      <c r="X20" s="25" t="s">
        <v>6</v>
      </c>
      <c r="Y20" s="25" t="s">
        <v>6</v>
      </c>
      <c r="Z20" s="25" t="s">
        <v>6</v>
      </c>
      <c r="AA20" s="25" t="s">
        <v>6</v>
      </c>
      <c r="AB20" s="25" t="s">
        <v>6</v>
      </c>
      <c r="AC20" s="25" t="s">
        <v>6</v>
      </c>
      <c r="AD20" s="148">
        <v>2</v>
      </c>
      <c r="AE20" s="17"/>
      <c r="AF20" s="163">
        <f t="shared" si="0"/>
        <v>3.875968992248062E-2</v>
      </c>
      <c r="AG20" s="164">
        <f>Master_Data[[#This Row],[Imp. Level]]/SUMIF(Master_Data[Subject],Master_Data[[#This Row],[Subject]],Master_Data[Imp. Level])</f>
        <v>0.16666666666666666</v>
      </c>
      <c r="AH20" s="146">
        <f>Master_Data[[#This Row],[Subjectwise weights]]*Master_Data[[#This Row],[Confidence Level]]</f>
        <v>0.33333333333333331</v>
      </c>
      <c r="AI20" s="147" t="str">
        <f>IF(AND(Master_Data[[#This Row],[Inst. EOC Ques.]]="D",Master_Data[[#This Row],[Prac. Book]]="D"),"D","U")</f>
        <v>U</v>
      </c>
      <c r="AJ20" s="147" t="str">
        <f>IF(AND(Master_Data[[#This Row],[Inst. Online Portal]]="D",Master_Data[[#This Row],[Schweser Prac. Bk 1]]="D",Master_Data[[#This Row],[Schweser Prac. Bk 2]]="D"),"D","U")</f>
        <v>U</v>
      </c>
    </row>
    <row r="21" spans="2:71" ht="27" customHeight="1" x14ac:dyDescent="0.3">
      <c r="B21" s="3">
        <v>13.1</v>
      </c>
      <c r="C21" s="168" t="str">
        <f ca="1">IF(Master_Data[[#This Row],[Column1]]="Done","",IF(Master_Data[[#This Row],[Column1]]=MIN(Master_Data[Column1]),"Current Week",CONCATENATE("Week ",Master_Data[[#This Row],[Column1]])))</f>
        <v>Week 17</v>
      </c>
      <c r="D21" s="3">
        <f ca="1">IF(Master_Data[[#This Row],[Cum. Undone hrs]]=0,"Done",ROUNDUP(Master_Data[[#This Row],[Cum. Undone hrs]]/Working!$C$8,0))</f>
        <v>17</v>
      </c>
      <c r="E21" s="3">
        <f ca="1">IF(OR(D21=D20,D21=D20+1),Master_Data[[#This Row],[Column1]],D21-1)</f>
        <v>17</v>
      </c>
      <c r="F21" s="15">
        <f>SUM($G$9:G21)</f>
        <v>3.5243055555555554</v>
      </c>
      <c r="G21" s="24">
        <f>IF(Master_Data[[#This Row],[Lectures]]="D","",Master_Data[[#This Row],[Duration (hh:mm)]])</f>
        <v>0.22708333333333333</v>
      </c>
      <c r="H21" s="2" t="s">
        <v>197</v>
      </c>
      <c r="I21" s="2">
        <v>21</v>
      </c>
      <c r="J21" s="2" t="s">
        <v>111</v>
      </c>
      <c r="K21" s="39" t="s">
        <v>178</v>
      </c>
      <c r="L21" s="252">
        <v>1</v>
      </c>
      <c r="M21" s="16">
        <v>10</v>
      </c>
      <c r="N21" s="38">
        <v>3</v>
      </c>
      <c r="O21" s="38">
        <v>2</v>
      </c>
      <c r="P21" s="38">
        <v>3</v>
      </c>
      <c r="Q21" s="38">
        <v>4</v>
      </c>
      <c r="R21" s="38">
        <v>4</v>
      </c>
      <c r="S21" s="38">
        <v>4</v>
      </c>
      <c r="T21" s="12">
        <v>0.22708333333333333</v>
      </c>
      <c r="U21" s="37">
        <f>(SUM($T$9:T21)/$T$4)*100</f>
        <v>48.411714203949252</v>
      </c>
      <c r="V21" s="25" t="s">
        <v>6</v>
      </c>
      <c r="W21" s="25" t="s">
        <v>6</v>
      </c>
      <c r="X21" s="25" t="s">
        <v>6</v>
      </c>
      <c r="Y21" s="25" t="s">
        <v>6</v>
      </c>
      <c r="Z21" s="25" t="s">
        <v>6</v>
      </c>
      <c r="AA21" s="25" t="s">
        <v>6</v>
      </c>
      <c r="AB21" s="25" t="s">
        <v>6</v>
      </c>
      <c r="AC21" s="25" t="s">
        <v>6</v>
      </c>
      <c r="AD21" s="148">
        <v>3</v>
      </c>
      <c r="AE21" s="17"/>
      <c r="AF21" s="163">
        <f t="shared" si="0"/>
        <v>3.1007751937984496E-2</v>
      </c>
      <c r="AG21" s="164">
        <f>Master_Data[[#This Row],[Imp. Level]]/SUMIF(Master_Data[Subject],Master_Data[[#This Row],[Subject]],Master_Data[Imp. Level])</f>
        <v>0.13333333333333333</v>
      </c>
      <c r="AH21" s="146">
        <f>Master_Data[[#This Row],[Subjectwise weights]]*Master_Data[[#This Row],[Confidence Level]]</f>
        <v>0.4</v>
      </c>
      <c r="AI21" s="147" t="str">
        <f>IF(AND(Master_Data[[#This Row],[Inst. EOC Ques.]]="D",Master_Data[[#This Row],[Prac. Book]]="D"),"D","U")</f>
        <v>U</v>
      </c>
      <c r="AJ21" s="147" t="str">
        <f>IF(AND(Master_Data[[#This Row],[Inst. Online Portal]]="D",Master_Data[[#This Row],[Schweser Prac. Bk 1]]="D",Master_Data[[#This Row],[Schweser Prac. Bk 2]]="D"),"D","U")</f>
        <v>U</v>
      </c>
    </row>
    <row r="22" spans="2:71" ht="27" customHeight="1" x14ac:dyDescent="0.3">
      <c r="B22" s="3">
        <v>14.1</v>
      </c>
      <c r="C22" s="168" t="str">
        <f ca="1">IF(Master_Data[[#This Row],[Column1]]="Done","",IF(Master_Data[[#This Row],[Column1]]=MIN(Master_Data[Column1]),"Current Week",CONCATENATE("Week ",Master_Data[[#This Row],[Column1]])))</f>
        <v>Week 18</v>
      </c>
      <c r="D22" s="3">
        <f ca="1">IF(Master_Data[[#This Row],[Cum. Undone hrs]]=0,"Done",ROUNDUP(Master_Data[[#This Row],[Cum. Undone hrs]]/Working!$C$8,0))</f>
        <v>18</v>
      </c>
      <c r="E22" s="3">
        <f ca="1">IF(OR(D22=D21,D22=D21+1),Master_Data[[#This Row],[Column1]],D22-1)</f>
        <v>18</v>
      </c>
      <c r="F22" s="15">
        <f>SUM($G$9:G22)</f>
        <v>3.7381944444444444</v>
      </c>
      <c r="G22" s="24">
        <f>IF(Master_Data[[#This Row],[Lectures]]="D","",Master_Data[[#This Row],[Duration (hh:mm)]])</f>
        <v>0.21388888888888891</v>
      </c>
      <c r="H22" s="2" t="s">
        <v>9</v>
      </c>
      <c r="I22" s="2" t="s">
        <v>210</v>
      </c>
      <c r="J22" s="2" t="s">
        <v>111</v>
      </c>
      <c r="K22" s="39" t="s">
        <v>211</v>
      </c>
      <c r="L22" s="252">
        <v>2</v>
      </c>
      <c r="M22" s="16" t="s">
        <v>214</v>
      </c>
      <c r="N22" s="38">
        <v>3</v>
      </c>
      <c r="O22" s="38">
        <v>1</v>
      </c>
      <c r="P22" s="38">
        <v>2</v>
      </c>
      <c r="Q22" s="38">
        <v>5</v>
      </c>
      <c r="R22" s="38">
        <v>5</v>
      </c>
      <c r="S22" s="38">
        <v>5</v>
      </c>
      <c r="T22" s="12">
        <v>0.21388888888888891</v>
      </c>
      <c r="U22" s="37">
        <f>(SUM($T$9:T22)/$T$4)*100</f>
        <v>51.349804445292378</v>
      </c>
      <c r="V22" s="25" t="s">
        <v>6</v>
      </c>
      <c r="W22" s="25" t="s">
        <v>6</v>
      </c>
      <c r="X22" s="25" t="s">
        <v>6</v>
      </c>
      <c r="Y22" s="25" t="s">
        <v>6</v>
      </c>
      <c r="Z22" s="25" t="s">
        <v>6</v>
      </c>
      <c r="AA22" s="25" t="s">
        <v>6</v>
      </c>
      <c r="AB22" s="25" t="s">
        <v>6</v>
      </c>
      <c r="AC22" s="25" t="s">
        <v>6</v>
      </c>
      <c r="AD22" s="148">
        <v>2</v>
      </c>
      <c r="AE22" s="17"/>
      <c r="AF22" s="163">
        <f t="shared" si="0"/>
        <v>3.875968992248062E-2</v>
      </c>
      <c r="AG22" s="164">
        <f>Master_Data[[#This Row],[Imp. Level]]/SUMIF(Master_Data[Subject],Master_Data[[#This Row],[Subject]],Master_Data[Imp. Level])</f>
        <v>0.29411764705882354</v>
      </c>
      <c r="AH22" s="146">
        <f>Master_Data[[#This Row],[Subjectwise weights]]*Master_Data[[#This Row],[Confidence Level]]</f>
        <v>0.58823529411764708</v>
      </c>
      <c r="AI22" s="147" t="str">
        <f>IF(AND(Master_Data[[#This Row],[Inst. EOC Ques.]]="D",Master_Data[[#This Row],[Prac. Book]]="D"),"D","U")</f>
        <v>U</v>
      </c>
      <c r="AJ22" s="147" t="str">
        <f>IF(AND(Master_Data[[#This Row],[Inst. Online Portal]]="D",Master_Data[[#This Row],[Schweser Prac. Bk 1]]="D",Master_Data[[#This Row],[Schweser Prac. Bk 2]]="D"),"D","U")</f>
        <v>U</v>
      </c>
    </row>
    <row r="23" spans="2:71" ht="27" customHeight="1" x14ac:dyDescent="0.3">
      <c r="B23" s="3">
        <v>15.1</v>
      </c>
      <c r="C23" s="168" t="str">
        <f ca="1">IF(Master_Data[[#This Row],[Column1]]="Done","",IF(Master_Data[[#This Row],[Column1]]=MIN(Master_Data[Column1]),"Current Week",CONCATENATE("Week ",Master_Data[[#This Row],[Column1]])))</f>
        <v>Week 19</v>
      </c>
      <c r="D23" s="3">
        <f ca="1">IF(Master_Data[[#This Row],[Cum. Undone hrs]]=0,"Done",ROUNDUP(Master_Data[[#This Row],[Cum. Undone hrs]]/Working!$C$8,0))</f>
        <v>19</v>
      </c>
      <c r="E23" s="3">
        <f ca="1">IF(OR(D23=D22,D23=D22+1),Master_Data[[#This Row],[Column1]],D23-1)</f>
        <v>19</v>
      </c>
      <c r="F23" s="15">
        <f>SUM($G$9:G23)</f>
        <v>3.7826388888888887</v>
      </c>
      <c r="G23" s="24">
        <f>IF(Master_Data[[#This Row],[Lectures]]="D","",Master_Data[[#This Row],[Duration (hh:mm)]])</f>
        <v>4.4444444444444446E-2</v>
      </c>
      <c r="H23" s="2" t="s">
        <v>9</v>
      </c>
      <c r="I23" s="2">
        <v>31</v>
      </c>
      <c r="J23" s="2" t="s">
        <v>111</v>
      </c>
      <c r="K23" s="39" t="s">
        <v>204</v>
      </c>
      <c r="L23" s="252">
        <v>1</v>
      </c>
      <c r="M23" s="16">
        <v>2</v>
      </c>
      <c r="N23" s="38">
        <v>1</v>
      </c>
      <c r="O23" s="38">
        <v>1</v>
      </c>
      <c r="P23" s="38">
        <v>1</v>
      </c>
      <c r="Q23" s="38">
        <v>4</v>
      </c>
      <c r="R23" s="38">
        <v>4</v>
      </c>
      <c r="S23" s="38">
        <v>4</v>
      </c>
      <c r="T23" s="13">
        <v>4.4444444444444446E-2</v>
      </c>
      <c r="U23" s="37">
        <f>(SUM($T$9:T23)/$T$4)*100</f>
        <v>51.960316703233808</v>
      </c>
      <c r="V23" s="25" t="s">
        <v>6</v>
      </c>
      <c r="W23" s="25" t="s">
        <v>6</v>
      </c>
      <c r="X23" s="25" t="s">
        <v>6</v>
      </c>
      <c r="Y23" s="25" t="s">
        <v>6</v>
      </c>
      <c r="Z23" s="25" t="s">
        <v>6</v>
      </c>
      <c r="AA23" s="25" t="s">
        <v>6</v>
      </c>
      <c r="AB23" s="25" t="s">
        <v>6</v>
      </c>
      <c r="AC23" s="25" t="s">
        <v>6</v>
      </c>
      <c r="AD23" s="148">
        <v>3</v>
      </c>
      <c r="AE23" s="17"/>
      <c r="AF23" s="163">
        <f t="shared" si="0"/>
        <v>3.1007751937984496E-2</v>
      </c>
      <c r="AG23" s="164">
        <f>Master_Data[[#This Row],[Imp. Level]]/SUMIF(Master_Data[Subject],Master_Data[[#This Row],[Subject]],Master_Data[Imp. Level])</f>
        <v>0.23529411764705882</v>
      </c>
      <c r="AH23" s="146">
        <f>Master_Data[[#This Row],[Subjectwise weights]]*Master_Data[[#This Row],[Confidence Level]]</f>
        <v>0.70588235294117641</v>
      </c>
      <c r="AI23" s="147" t="str">
        <f>IF(AND(Master_Data[[#This Row],[Inst. EOC Ques.]]="D",Master_Data[[#This Row],[Prac. Book]]="D"),"D","U")</f>
        <v>U</v>
      </c>
      <c r="AJ23" s="147" t="str">
        <f>IF(AND(Master_Data[[#This Row],[Inst. Online Portal]]="D",Master_Data[[#This Row],[Schweser Prac. Bk 1]]="D",Master_Data[[#This Row],[Schweser Prac. Bk 2]]="D"),"D","U")</f>
        <v>U</v>
      </c>
    </row>
    <row r="24" spans="2:71" ht="27" customHeight="1" x14ac:dyDescent="0.3">
      <c r="B24" s="3">
        <v>16.100000000000001</v>
      </c>
      <c r="C24" s="168" t="str">
        <f ca="1">IF(Master_Data[[#This Row],[Column1]]="Done","",IF(Master_Data[[#This Row],[Column1]]=MIN(Master_Data[Column1]),"Current Week",CONCATENATE("Week ",Master_Data[[#This Row],[Column1]])))</f>
        <v>Week 19</v>
      </c>
      <c r="D24" s="3">
        <f ca="1">IF(Master_Data[[#This Row],[Cum. Undone hrs]]=0,"Done",ROUNDUP(Master_Data[[#This Row],[Cum. Undone hrs]]/Working!$C$8,0))</f>
        <v>19</v>
      </c>
      <c r="E24" s="3">
        <f ca="1">IF(OR(D24=D23,D24=D23+1),Master_Data[[#This Row],[Column1]],D24-1)</f>
        <v>19</v>
      </c>
      <c r="F24" s="15">
        <f>SUM($G$9:G24)</f>
        <v>3.8180555555555555</v>
      </c>
      <c r="G24" s="24">
        <f>IF(Master_Data[[#This Row],[Lectures]]="D","",Master_Data[[#This Row],[Duration (hh:mm)]])</f>
        <v>3.5416666666666666E-2</v>
      </c>
      <c r="H24" s="2" t="s">
        <v>9</v>
      </c>
      <c r="I24" s="2">
        <v>32</v>
      </c>
      <c r="J24" s="2" t="s">
        <v>111</v>
      </c>
      <c r="K24" s="39" t="s">
        <v>179</v>
      </c>
      <c r="L24" s="252">
        <v>1</v>
      </c>
      <c r="M24" s="16">
        <v>4</v>
      </c>
      <c r="N24" s="38">
        <v>1</v>
      </c>
      <c r="O24" s="38">
        <v>1</v>
      </c>
      <c r="P24" s="38">
        <v>1</v>
      </c>
      <c r="Q24" s="38">
        <v>4</v>
      </c>
      <c r="R24" s="38">
        <v>4</v>
      </c>
      <c r="S24" s="38">
        <v>4</v>
      </c>
      <c r="T24" s="13">
        <v>3.5416666666666666E-2</v>
      </c>
      <c r="U24" s="37">
        <f>(SUM($T$9:T24)/$T$4)*100</f>
        <v>52.446818658780877</v>
      </c>
      <c r="V24" s="25" t="s">
        <v>6</v>
      </c>
      <c r="W24" s="25" t="s">
        <v>6</v>
      </c>
      <c r="X24" s="25" t="s">
        <v>6</v>
      </c>
      <c r="Y24" s="25" t="s">
        <v>6</v>
      </c>
      <c r="Z24" s="25" t="s">
        <v>6</v>
      </c>
      <c r="AA24" s="25" t="s">
        <v>6</v>
      </c>
      <c r="AB24" s="25" t="s">
        <v>6</v>
      </c>
      <c r="AC24" s="25" t="s">
        <v>6</v>
      </c>
      <c r="AD24" s="148">
        <v>2</v>
      </c>
      <c r="AE24" s="17"/>
      <c r="AF24" s="163">
        <f t="shared" si="0"/>
        <v>3.1007751937984496E-2</v>
      </c>
      <c r="AG24" s="164">
        <f>Master_Data[[#This Row],[Imp. Level]]/SUMIF(Master_Data[Subject],Master_Data[[#This Row],[Subject]],Master_Data[Imp. Level])</f>
        <v>0.23529411764705882</v>
      </c>
      <c r="AH24" s="146">
        <f>Master_Data[[#This Row],[Subjectwise weights]]*Master_Data[[#This Row],[Confidence Level]]</f>
        <v>0.47058823529411764</v>
      </c>
      <c r="AI24" s="147" t="str">
        <f>IF(AND(Master_Data[[#This Row],[Inst. EOC Ques.]]="D",Master_Data[[#This Row],[Prac. Book]]="D"),"D","U")</f>
        <v>U</v>
      </c>
      <c r="AJ24" s="147" t="str">
        <f>IF(AND(Master_Data[[#This Row],[Inst. Online Portal]]="D",Master_Data[[#This Row],[Schweser Prac. Bk 1]]="D",Master_Data[[#This Row],[Schweser Prac. Bk 2]]="D"),"D","U")</f>
        <v>U</v>
      </c>
    </row>
    <row r="25" spans="2:71" ht="27" customHeight="1" x14ac:dyDescent="0.3">
      <c r="B25" s="3">
        <v>17.100000000000001</v>
      </c>
      <c r="C25" s="168" t="str">
        <f ca="1">IF(Master_Data[[#This Row],[Column1]]="Done","",IF(Master_Data[[#This Row],[Column1]]=MIN(Master_Data[Column1]),"Current Week",CONCATENATE("Week ",Master_Data[[#This Row],[Column1]])))</f>
        <v>Week 20</v>
      </c>
      <c r="D25" s="3">
        <f ca="1">IF(Master_Data[[#This Row],[Cum. Undone hrs]]=0,"Done",ROUNDUP(Master_Data[[#This Row],[Cum. Undone hrs]]/Working!$C$8,0))</f>
        <v>20</v>
      </c>
      <c r="E25" s="3">
        <f ca="1">IF(OR(D25=D24,D25=D24+1),Master_Data[[#This Row],[Column1]],D25-1)</f>
        <v>20</v>
      </c>
      <c r="F25" s="15">
        <f>SUM($G$9:G25)</f>
        <v>4.134722222222222</v>
      </c>
      <c r="G25" s="24">
        <f>IF(Master_Data[[#This Row],[Lectures]]="D","",Master_Data[[#This Row],[Duration (hh:mm)]])</f>
        <v>0.31666666666666665</v>
      </c>
      <c r="H25" s="2" t="s">
        <v>197</v>
      </c>
      <c r="I25" s="2">
        <v>22</v>
      </c>
      <c r="J25" s="2" t="s">
        <v>111</v>
      </c>
      <c r="K25" s="39" t="s">
        <v>180</v>
      </c>
      <c r="L25" s="252">
        <v>1</v>
      </c>
      <c r="M25" s="16">
        <v>8</v>
      </c>
      <c r="N25" s="38">
        <v>5</v>
      </c>
      <c r="O25" s="38">
        <v>2</v>
      </c>
      <c r="P25" s="38">
        <v>3</v>
      </c>
      <c r="Q25" s="38">
        <v>3</v>
      </c>
      <c r="R25" s="38">
        <v>5</v>
      </c>
      <c r="S25" s="38">
        <v>5</v>
      </c>
      <c r="T25" s="13">
        <v>0.31666666666666665</v>
      </c>
      <c r="U25" s="37">
        <f>(SUM($T$9:T25)/$T$4)*100</f>
        <v>56.796718496613565</v>
      </c>
      <c r="V25" s="25" t="s">
        <v>6</v>
      </c>
      <c r="W25" s="25" t="s">
        <v>6</v>
      </c>
      <c r="X25" s="25" t="s">
        <v>6</v>
      </c>
      <c r="Y25" s="25" t="s">
        <v>6</v>
      </c>
      <c r="Z25" s="25" t="s">
        <v>6</v>
      </c>
      <c r="AA25" s="25" t="s">
        <v>6</v>
      </c>
      <c r="AB25" s="25" t="s">
        <v>6</v>
      </c>
      <c r="AC25" s="25" t="s">
        <v>6</v>
      </c>
      <c r="AD25" s="148">
        <v>2</v>
      </c>
      <c r="AE25" s="17"/>
      <c r="AF25" s="163">
        <f t="shared" si="0"/>
        <v>3.875968992248062E-2</v>
      </c>
      <c r="AG25" s="164">
        <f>Master_Data[[#This Row],[Imp. Level]]/SUMIF(Master_Data[Subject],Master_Data[[#This Row],[Subject]],Master_Data[Imp. Level])</f>
        <v>0.16666666666666666</v>
      </c>
      <c r="AH25" s="146">
        <f>Master_Data[[#This Row],[Subjectwise weights]]*Master_Data[[#This Row],[Confidence Level]]</f>
        <v>0.33333333333333331</v>
      </c>
      <c r="AI25" s="147" t="str">
        <f>IF(AND(Master_Data[[#This Row],[Inst. EOC Ques.]]="D",Master_Data[[#This Row],[Prac. Book]]="D"),"D","U")</f>
        <v>U</v>
      </c>
      <c r="AJ25" s="147" t="str">
        <f>IF(AND(Master_Data[[#This Row],[Inst. Online Portal]]="D",Master_Data[[#This Row],[Schweser Prac. Bk 1]]="D",Master_Data[[#This Row],[Schweser Prac. Bk 2]]="D"),"D","U")</f>
        <v>U</v>
      </c>
    </row>
    <row r="26" spans="2:71" ht="27" customHeight="1" x14ac:dyDescent="0.3">
      <c r="B26" s="3">
        <v>18.100000000000001</v>
      </c>
      <c r="C26" s="168" t="str">
        <f ca="1">IF(Master_Data[[#This Row],[Column1]]="Done","",IF(Master_Data[[#This Row],[Column1]]=MIN(Master_Data[Column1]),"Current Week",CONCATENATE("Week ",Master_Data[[#This Row],[Column1]])))</f>
        <v>Week 21</v>
      </c>
      <c r="D26" s="3">
        <f ca="1">IF(Master_Data[[#This Row],[Cum. Undone hrs]]=0,"Done",ROUNDUP(Master_Data[[#This Row],[Cum. Undone hrs]]/Working!$C$8,0))</f>
        <v>21</v>
      </c>
      <c r="E26" s="3">
        <f ca="1">IF(OR(D26=D25,D26=D25+1),Master_Data[[#This Row],[Column1]],D26-1)</f>
        <v>21</v>
      </c>
      <c r="F26" s="15">
        <f>SUM($G$9:G26)</f>
        <v>4.228472222222222</v>
      </c>
      <c r="G26" s="24">
        <f>IF(Master_Data[[#This Row],[Lectures]]="D","",Master_Data[[#This Row],[Duration (hh:mm)]])</f>
        <v>9.375E-2</v>
      </c>
      <c r="H26" s="2" t="s">
        <v>11</v>
      </c>
      <c r="I26" s="2">
        <v>13</v>
      </c>
      <c r="J26" s="2" t="s">
        <v>111</v>
      </c>
      <c r="K26" s="39" t="s">
        <v>181</v>
      </c>
      <c r="L26" s="252">
        <v>1</v>
      </c>
      <c r="M26" s="16">
        <v>5</v>
      </c>
      <c r="N26" s="38">
        <v>2</v>
      </c>
      <c r="O26" s="38">
        <v>1</v>
      </c>
      <c r="P26" s="38">
        <v>2</v>
      </c>
      <c r="Q26" s="38">
        <v>3</v>
      </c>
      <c r="R26" s="38">
        <v>3</v>
      </c>
      <c r="S26" s="38">
        <v>3</v>
      </c>
      <c r="T26" s="13">
        <v>9.375E-2</v>
      </c>
      <c r="U26" s="37">
        <f>(SUM($T$9:T26)/$T$4)*100</f>
        <v>58.084517790708766</v>
      </c>
      <c r="V26" s="25" t="s">
        <v>6</v>
      </c>
      <c r="W26" s="25" t="s">
        <v>6</v>
      </c>
      <c r="X26" s="25" t="s">
        <v>6</v>
      </c>
      <c r="Y26" s="25" t="s">
        <v>6</v>
      </c>
      <c r="Z26" s="25" t="s">
        <v>6</v>
      </c>
      <c r="AA26" s="25" t="s">
        <v>6</v>
      </c>
      <c r="AB26" s="25" t="s">
        <v>6</v>
      </c>
      <c r="AC26" s="25" t="s">
        <v>6</v>
      </c>
      <c r="AD26" s="148">
        <v>2</v>
      </c>
      <c r="AE26" s="17"/>
      <c r="AF26" s="163">
        <f t="shared" si="0"/>
        <v>2.3255813953488372E-2</v>
      </c>
      <c r="AG26" s="164">
        <f>Master_Data[[#This Row],[Imp. Level]]/SUMIF(Master_Data[Subject],Master_Data[[#This Row],[Subject]],Master_Data[Imp. Level])</f>
        <v>0.21428571428571427</v>
      </c>
      <c r="AH26" s="146">
        <f>Master_Data[[#This Row],[Subjectwise weights]]*Master_Data[[#This Row],[Confidence Level]]</f>
        <v>0.42857142857142855</v>
      </c>
      <c r="AI26" s="147" t="str">
        <f>IF(AND(Master_Data[[#This Row],[Inst. EOC Ques.]]="D",Master_Data[[#This Row],[Prac. Book]]="D"),"D","U")</f>
        <v>U</v>
      </c>
      <c r="AJ26" s="147" t="str">
        <f>IF(AND(Master_Data[[#This Row],[Inst. Online Portal]]="D",Master_Data[[#This Row],[Schweser Prac. Bk 1]]="D",Master_Data[[#This Row],[Schweser Prac. Bk 2]]="D"),"D","U")</f>
        <v>U</v>
      </c>
    </row>
    <row r="27" spans="2:71" ht="27" customHeight="1" x14ac:dyDescent="0.3">
      <c r="B27" s="3">
        <v>19.100000000000001</v>
      </c>
      <c r="C27" s="168" t="str">
        <f ca="1">IF(Master_Data[[#This Row],[Column1]]="Done","",IF(Master_Data[[#This Row],[Column1]]=MIN(Master_Data[Column1]),"Current Week",CONCATENATE("Week ",Master_Data[[#This Row],[Column1]])))</f>
        <v>Week 21</v>
      </c>
      <c r="D27" s="3">
        <f ca="1">IF(Master_Data[[#This Row],[Cum. Undone hrs]]=0,"Done",ROUNDUP(Master_Data[[#This Row],[Cum. Undone hrs]]/Working!$C$8,0))</f>
        <v>21</v>
      </c>
      <c r="E27" s="3">
        <f ca="1">IF(OR(D27=D26,D27=D26+1),Master_Data[[#This Row],[Column1]],D27-1)</f>
        <v>21</v>
      </c>
      <c r="F27" s="15">
        <f>SUM($G$9:G27)</f>
        <v>4.3569444444444443</v>
      </c>
      <c r="G27" s="24">
        <f>IF(Master_Data[[#This Row],[Lectures]]="D","",Master_Data[[#This Row],[Duration (hh:mm)]])</f>
        <v>0.12847222222222224</v>
      </c>
      <c r="H27" s="2" t="s">
        <v>11</v>
      </c>
      <c r="I27" s="2">
        <v>14</v>
      </c>
      <c r="J27" s="2" t="s">
        <v>111</v>
      </c>
      <c r="K27" s="39" t="s">
        <v>182</v>
      </c>
      <c r="L27" s="252">
        <v>1</v>
      </c>
      <c r="M27" s="16">
        <v>6</v>
      </c>
      <c r="N27" s="38">
        <v>2</v>
      </c>
      <c r="O27" s="38">
        <v>1</v>
      </c>
      <c r="P27" s="38">
        <v>2</v>
      </c>
      <c r="Q27" s="38">
        <v>3</v>
      </c>
      <c r="R27" s="38">
        <v>3</v>
      </c>
      <c r="S27" s="38">
        <v>4</v>
      </c>
      <c r="T27" s="13">
        <v>0.12847222222222224</v>
      </c>
      <c r="U27" s="37">
        <f>(SUM($T$9:T27)/$T$4)*100</f>
        <v>59.849279786320707</v>
      </c>
      <c r="V27" s="25" t="s">
        <v>6</v>
      </c>
      <c r="W27" s="25" t="s">
        <v>6</v>
      </c>
      <c r="X27" s="25" t="s">
        <v>6</v>
      </c>
      <c r="Y27" s="25" t="s">
        <v>6</v>
      </c>
      <c r="Z27" s="25" t="s">
        <v>6</v>
      </c>
      <c r="AA27" s="25" t="s">
        <v>6</v>
      </c>
      <c r="AB27" s="25" t="s">
        <v>6</v>
      </c>
      <c r="AC27" s="25" t="s">
        <v>6</v>
      </c>
      <c r="AD27" s="148">
        <v>3</v>
      </c>
      <c r="AE27" s="17"/>
      <c r="AF27" s="163">
        <f t="shared" si="0"/>
        <v>2.3255813953488372E-2</v>
      </c>
      <c r="AG27" s="164">
        <f>Master_Data[[#This Row],[Imp. Level]]/SUMIF(Master_Data[Subject],Master_Data[[#This Row],[Subject]],Master_Data[Imp. Level])</f>
        <v>0.21428571428571427</v>
      </c>
      <c r="AH27" s="146">
        <f>Master_Data[[#This Row],[Subjectwise weights]]*Master_Data[[#This Row],[Confidence Level]]</f>
        <v>0.64285714285714279</v>
      </c>
      <c r="AI27" s="147" t="str">
        <f>IF(AND(Master_Data[[#This Row],[Inst. EOC Ques.]]="D",Master_Data[[#This Row],[Prac. Book]]="D"),"D","U")</f>
        <v>U</v>
      </c>
      <c r="AJ27" s="147" t="str">
        <f>IF(AND(Master_Data[[#This Row],[Inst. Online Portal]]="D",Master_Data[[#This Row],[Schweser Prac. Bk 1]]="D",Master_Data[[#This Row],[Schweser Prac. Bk 2]]="D"),"D","U")</f>
        <v>U</v>
      </c>
    </row>
    <row r="28" spans="2:71" ht="27" customHeight="1" x14ac:dyDescent="0.3">
      <c r="B28" s="3">
        <v>20.100000000000001</v>
      </c>
      <c r="C28" s="168" t="str">
        <f ca="1">IF(Master_Data[[#This Row],[Column1]]="Done","",IF(Master_Data[[#This Row],[Column1]]=MIN(Master_Data[Column1]),"Current Week",CONCATENATE("Week ",Master_Data[[#This Row],[Column1]])))</f>
        <v>Week 22</v>
      </c>
      <c r="D28" s="3">
        <f ca="1">IF(Master_Data[[#This Row],[Cum. Undone hrs]]=0,"Done",ROUNDUP(Master_Data[[#This Row],[Cum. Undone hrs]]/Working!$C$8,0))</f>
        <v>22</v>
      </c>
      <c r="E28" s="3">
        <f ca="1">IF(OR(D28=D27,D28=D27+1),Master_Data[[#This Row],[Column1]],D28-1)</f>
        <v>22</v>
      </c>
      <c r="F28" s="15">
        <f>SUM($G$9:G28)</f>
        <v>4.5638888888888891</v>
      </c>
      <c r="G28" s="24">
        <f>IF(Master_Data[[#This Row],[Lectures]]="D","",Master_Data[[#This Row],[Duration (hh:mm)]])</f>
        <v>0.20694444444444446</v>
      </c>
      <c r="H28" s="2" t="s">
        <v>11</v>
      </c>
      <c r="I28" s="2">
        <v>15</v>
      </c>
      <c r="J28" s="2" t="s">
        <v>111</v>
      </c>
      <c r="K28" s="39" t="s">
        <v>202</v>
      </c>
      <c r="L28" s="252">
        <v>1</v>
      </c>
      <c r="M28" s="16">
        <v>9</v>
      </c>
      <c r="N28" s="38">
        <v>3</v>
      </c>
      <c r="O28" s="38">
        <v>1</v>
      </c>
      <c r="P28" s="38">
        <v>3</v>
      </c>
      <c r="Q28" s="38">
        <v>3</v>
      </c>
      <c r="R28" s="38">
        <v>4</v>
      </c>
      <c r="S28" s="38">
        <v>4</v>
      </c>
      <c r="T28" s="12">
        <v>0.20694444444444446</v>
      </c>
      <c r="U28" s="37">
        <f>(SUM($T$9:T28)/$T$4)*100</f>
        <v>62.691977487360496</v>
      </c>
      <c r="V28" s="25" t="s">
        <v>6</v>
      </c>
      <c r="W28" s="25" t="s">
        <v>6</v>
      </c>
      <c r="X28" s="25" t="s">
        <v>6</v>
      </c>
      <c r="Y28" s="25" t="s">
        <v>6</v>
      </c>
      <c r="Z28" s="25" t="s">
        <v>6</v>
      </c>
      <c r="AA28" s="25" t="s">
        <v>6</v>
      </c>
      <c r="AB28" s="25" t="s">
        <v>6</v>
      </c>
      <c r="AC28" s="25" t="s">
        <v>6</v>
      </c>
      <c r="AD28" s="148">
        <v>3</v>
      </c>
      <c r="AE28" s="17"/>
      <c r="AF28" s="163">
        <f t="shared" si="0"/>
        <v>3.1007751937984496E-2</v>
      </c>
      <c r="AG28" s="164">
        <f>Master_Data[[#This Row],[Imp. Level]]/SUMIF(Master_Data[Subject],Master_Data[[#This Row],[Subject]],Master_Data[Imp. Level])</f>
        <v>0.2857142857142857</v>
      </c>
      <c r="AH28" s="146">
        <f>Master_Data[[#This Row],[Subjectwise weights]]*Master_Data[[#This Row],[Confidence Level]]</f>
        <v>0.8571428571428571</v>
      </c>
      <c r="AI28" s="147" t="str">
        <f>IF(AND(Master_Data[[#This Row],[Inst. EOC Ques.]]="D",Master_Data[[#This Row],[Prac. Book]]="D"),"D","U")</f>
        <v>U</v>
      </c>
      <c r="AJ28" s="147" t="str">
        <f>IF(AND(Master_Data[[#This Row],[Inst. Online Portal]]="D",Master_Data[[#This Row],[Schweser Prac. Bk 1]]="D",Master_Data[[#This Row],[Schweser Prac. Bk 2]]="D"),"D","U")</f>
        <v>U</v>
      </c>
    </row>
    <row r="29" spans="2:71" ht="27" customHeight="1" x14ac:dyDescent="0.3">
      <c r="B29" s="3">
        <v>21.1</v>
      </c>
      <c r="C29" s="168" t="str">
        <f ca="1">IF(Master_Data[[#This Row],[Column1]]="Done","",IF(Master_Data[[#This Row],[Column1]]=MIN(Master_Data[Column1]),"Current Week",CONCATENATE("Week ",Master_Data[[#This Row],[Column1]])))</f>
        <v>Week 24</v>
      </c>
      <c r="D29" s="3">
        <f ca="1">IF(Master_Data[[#This Row],[Cum. Undone hrs]]=0,"Done",ROUNDUP(Master_Data[[#This Row],[Cum. Undone hrs]]/Working!$C$8,0))</f>
        <v>24</v>
      </c>
      <c r="E29" s="3">
        <f ca="1">IF(OR(D29=D28,D29=D28+1),Master_Data[[#This Row],[Column1]],D29-1)</f>
        <v>23</v>
      </c>
      <c r="F29" s="15">
        <f>SUM($G$9:G29)</f>
        <v>4.8138888888888891</v>
      </c>
      <c r="G29" s="24">
        <f>IF(Master_Data[[#This Row],[Lectures]]="D","",Master_Data[[#This Row],[Duration (hh:mm)]])</f>
        <v>0.25</v>
      </c>
      <c r="H29" s="2" t="s">
        <v>11</v>
      </c>
      <c r="I29" s="2">
        <v>16</v>
      </c>
      <c r="J29" s="2" t="s">
        <v>111</v>
      </c>
      <c r="K29" s="39" t="s">
        <v>203</v>
      </c>
      <c r="L29" s="252">
        <v>1</v>
      </c>
      <c r="M29" s="16">
        <v>8</v>
      </c>
      <c r="N29" s="38">
        <v>4</v>
      </c>
      <c r="O29" s="38">
        <v>2</v>
      </c>
      <c r="P29" s="38">
        <v>3</v>
      </c>
      <c r="Q29" s="38">
        <v>4</v>
      </c>
      <c r="R29" s="38">
        <v>4</v>
      </c>
      <c r="S29" s="38">
        <v>5</v>
      </c>
      <c r="T29" s="11">
        <v>0.25</v>
      </c>
      <c r="U29" s="37">
        <f>(SUM($T$9:T29)/$T$4)*100</f>
        <v>66.126108938281035</v>
      </c>
      <c r="V29" s="25" t="s">
        <v>6</v>
      </c>
      <c r="W29" s="25" t="s">
        <v>6</v>
      </c>
      <c r="X29" s="25" t="s">
        <v>6</v>
      </c>
      <c r="Y29" s="25" t="s">
        <v>6</v>
      </c>
      <c r="Z29" s="25" t="s">
        <v>6</v>
      </c>
      <c r="AA29" s="25" t="s">
        <v>6</v>
      </c>
      <c r="AB29" s="25" t="s">
        <v>6</v>
      </c>
      <c r="AC29" s="25" t="s">
        <v>6</v>
      </c>
      <c r="AD29" s="148">
        <v>2</v>
      </c>
      <c r="AE29" s="17"/>
      <c r="AF29" s="163">
        <f t="shared" si="0"/>
        <v>3.1007751937984496E-2</v>
      </c>
      <c r="AG29" s="164">
        <f>Master_Data[[#This Row],[Imp. Level]]/SUMIF(Master_Data[Subject],Master_Data[[#This Row],[Subject]],Master_Data[Imp. Level])</f>
        <v>0.2857142857142857</v>
      </c>
      <c r="AH29" s="146">
        <f>Master_Data[[#This Row],[Subjectwise weights]]*Master_Data[[#This Row],[Confidence Level]]</f>
        <v>0.5714285714285714</v>
      </c>
      <c r="AI29" s="147" t="str">
        <f>IF(AND(Master_Data[[#This Row],[Inst. EOC Ques.]]="D",Master_Data[[#This Row],[Prac. Book]]="D"),"D","U")</f>
        <v>U</v>
      </c>
      <c r="AJ29" s="147" t="str">
        <f>IF(AND(Master_Data[[#This Row],[Inst. Online Portal]]="D",Master_Data[[#This Row],[Schweser Prac. Bk 1]]="D",Master_Data[[#This Row],[Schweser Prac. Bk 2]]="D"),"D","U")</f>
        <v>U</v>
      </c>
    </row>
    <row r="30" spans="2:71" ht="27" customHeight="1" x14ac:dyDescent="0.3">
      <c r="B30" s="3">
        <v>22.1</v>
      </c>
      <c r="C30" s="168" t="str">
        <f ca="1">IF(Master_Data[[#This Row],[Column1]]="Done","",IF(Master_Data[[#This Row],[Column1]]=MIN(Master_Data[Column1]),"Current Week",CONCATENATE("Week ",Master_Data[[#This Row],[Column1]])))</f>
        <v>Week 25</v>
      </c>
      <c r="D30" s="3">
        <f ca="1">IF(Master_Data[[#This Row],[Cum. Undone hrs]]=0,"Done",ROUNDUP(Master_Data[[#This Row],[Cum. Undone hrs]]/Working!$C$8,0))</f>
        <v>25</v>
      </c>
      <c r="E30" s="3">
        <f ca="1">IF(OR(D30=D29,D30=D29+1),Master_Data[[#This Row],[Column1]],D30-1)</f>
        <v>25</v>
      </c>
      <c r="F30" s="15">
        <f>SUM($G$9:G30)</f>
        <v>5.0868055555555554</v>
      </c>
      <c r="G30" s="24">
        <f>IF(Master_Data[[#This Row],[Lectures]]="D","",Master_Data[[#This Row],[Duration (hh:mm)]])</f>
        <v>0.27291666666666664</v>
      </c>
      <c r="H30" s="2" t="s">
        <v>183</v>
      </c>
      <c r="I30" s="2">
        <v>17</v>
      </c>
      <c r="J30" s="2" t="s">
        <v>111</v>
      </c>
      <c r="K30" s="39" t="s">
        <v>184</v>
      </c>
      <c r="L30" s="252">
        <v>1</v>
      </c>
      <c r="M30" s="16">
        <v>9</v>
      </c>
      <c r="N30" s="38">
        <v>4</v>
      </c>
      <c r="O30" s="38">
        <v>1</v>
      </c>
      <c r="P30" s="38">
        <v>3</v>
      </c>
      <c r="Q30" s="38">
        <v>4</v>
      </c>
      <c r="R30" s="38">
        <v>4</v>
      </c>
      <c r="S30" s="38">
        <v>5</v>
      </c>
      <c r="T30" s="13">
        <v>0.27291666666666664</v>
      </c>
      <c r="U30" s="37">
        <f>(SUM($T$9:T30)/$T$4)*100</f>
        <v>69.875035772202608</v>
      </c>
      <c r="V30" s="25" t="s">
        <v>6</v>
      </c>
      <c r="W30" s="25" t="s">
        <v>6</v>
      </c>
      <c r="X30" s="25" t="s">
        <v>6</v>
      </c>
      <c r="Y30" s="25" t="s">
        <v>6</v>
      </c>
      <c r="Z30" s="25" t="s">
        <v>6</v>
      </c>
      <c r="AA30" s="25" t="s">
        <v>6</v>
      </c>
      <c r="AB30" s="25" t="s">
        <v>6</v>
      </c>
      <c r="AC30" s="25" t="s">
        <v>6</v>
      </c>
      <c r="AD30" s="148">
        <v>2</v>
      </c>
      <c r="AE30" s="17"/>
      <c r="AF30" s="163">
        <f t="shared" si="0"/>
        <v>3.1007751937984496E-2</v>
      </c>
      <c r="AG30" s="164">
        <f>Master_Data[[#This Row],[Imp. Level]]/SUMIF(Master_Data[Subject],Master_Data[[#This Row],[Subject]],Master_Data[Imp. Level])</f>
        <v>0.5</v>
      </c>
      <c r="AH30" s="146">
        <f>Master_Data[[#This Row],[Subjectwise weights]]*Master_Data[[#This Row],[Confidence Level]]</f>
        <v>1</v>
      </c>
      <c r="AI30" s="147" t="str">
        <f>IF(AND(Master_Data[[#This Row],[Inst. EOC Ques.]]="D",Master_Data[[#This Row],[Prac. Book]]="D"),"D","U")</f>
        <v>U</v>
      </c>
      <c r="AJ30" s="147" t="str">
        <f>IF(AND(Master_Data[[#This Row],[Inst. Online Portal]]="D",Master_Data[[#This Row],[Schweser Prac. Bk 1]]="D",Master_Data[[#This Row],[Schweser Prac. Bk 2]]="D"),"D","U")</f>
        <v>U</v>
      </c>
    </row>
    <row r="31" spans="2:71" ht="27" customHeight="1" x14ac:dyDescent="0.3">
      <c r="B31" s="3">
        <v>23.1</v>
      </c>
      <c r="C31" s="168" t="str">
        <f ca="1">IF(Master_Data[[#This Row],[Column1]]="Done","",IF(Master_Data[[#This Row],[Column1]]=MIN(Master_Data[Column1]),"Current Week",CONCATENATE("Week ",Master_Data[[#This Row],[Column1]])))</f>
        <v>Week 26</v>
      </c>
      <c r="D31" s="3">
        <f ca="1">IF(Master_Data[[#This Row],[Cum. Undone hrs]]=0,"Done",ROUNDUP(Master_Data[[#This Row],[Cum. Undone hrs]]/Working!$C$8,0))</f>
        <v>26</v>
      </c>
      <c r="E31" s="3">
        <f ca="1">IF(OR(D31=D30,D31=D30+1),Master_Data[[#This Row],[Column1]],D31-1)</f>
        <v>26</v>
      </c>
      <c r="F31" s="15">
        <f>SUM($G$9:G31)</f>
        <v>5.2618055555555552</v>
      </c>
      <c r="G31" s="24">
        <f>IF(Master_Data[[#This Row],[Lectures]]="D","",Master_Data[[#This Row],[Duration (hh:mm)]])</f>
        <v>0.17500000000000002</v>
      </c>
      <c r="H31" s="2" t="s">
        <v>183</v>
      </c>
      <c r="I31" s="2">
        <v>18</v>
      </c>
      <c r="J31" s="2" t="s">
        <v>111</v>
      </c>
      <c r="K31" s="39" t="s">
        <v>185</v>
      </c>
      <c r="L31" s="252">
        <v>1</v>
      </c>
      <c r="M31" s="16">
        <v>8</v>
      </c>
      <c r="N31" s="38">
        <v>3</v>
      </c>
      <c r="O31" s="38">
        <v>1</v>
      </c>
      <c r="P31" s="38">
        <v>3</v>
      </c>
      <c r="Q31" s="38">
        <v>3</v>
      </c>
      <c r="R31" s="38">
        <v>4</v>
      </c>
      <c r="S31" s="38">
        <v>5</v>
      </c>
      <c r="T31" s="12">
        <v>0.17500000000000002</v>
      </c>
      <c r="U31" s="37">
        <f>(SUM($T$9:T31)/$T$4)*100</f>
        <v>72.278927787846996</v>
      </c>
      <c r="V31" s="25" t="s">
        <v>6</v>
      </c>
      <c r="W31" s="25" t="s">
        <v>6</v>
      </c>
      <c r="X31" s="25" t="s">
        <v>6</v>
      </c>
      <c r="Y31" s="25" t="s">
        <v>6</v>
      </c>
      <c r="Z31" s="25" t="s">
        <v>6</v>
      </c>
      <c r="AA31" s="25" t="s">
        <v>6</v>
      </c>
      <c r="AB31" s="25" t="s">
        <v>6</v>
      </c>
      <c r="AC31" s="25" t="s">
        <v>6</v>
      </c>
      <c r="AD31" s="148">
        <v>2</v>
      </c>
      <c r="AE31" s="17"/>
      <c r="AF31" s="163">
        <f t="shared" si="0"/>
        <v>3.1007751937984496E-2</v>
      </c>
      <c r="AG31" s="164">
        <f>Master_Data[[#This Row],[Imp. Level]]/SUMIF(Master_Data[Subject],Master_Data[[#This Row],[Subject]],Master_Data[Imp. Level])</f>
        <v>0.5</v>
      </c>
      <c r="AH31" s="146">
        <f>Master_Data[[#This Row],[Subjectwise weights]]*Master_Data[[#This Row],[Confidence Level]]</f>
        <v>1</v>
      </c>
      <c r="AI31" s="147" t="str">
        <f>IF(AND(Master_Data[[#This Row],[Inst. EOC Ques.]]="D",Master_Data[[#This Row],[Prac. Book]]="D"),"D","U")</f>
        <v>U</v>
      </c>
      <c r="AJ31" s="147" t="str">
        <f>IF(AND(Master_Data[[#This Row],[Inst. Online Portal]]="D",Master_Data[[#This Row],[Schweser Prac. Bk 1]]="D",Master_Data[[#This Row],[Schweser Prac. Bk 2]]="D"),"D","U")</f>
        <v>U</v>
      </c>
    </row>
    <row r="32" spans="2:71" ht="27" customHeight="1" x14ac:dyDescent="0.3">
      <c r="B32" s="3">
        <v>24.1</v>
      </c>
      <c r="C32" s="168" t="str">
        <f ca="1">IF(Master_Data[[#This Row],[Column1]]="Done","",IF(Master_Data[[#This Row],[Column1]]=MIN(Master_Data[Column1]),"Current Week",CONCATENATE("Week ",Master_Data[[#This Row],[Column1]])))</f>
        <v>Week 26</v>
      </c>
      <c r="D32" s="3">
        <f ca="1">IF(Master_Data[[#This Row],[Cum. Undone hrs]]=0,"Done",ROUNDUP(Master_Data[[#This Row],[Cum. Undone hrs]]/Working!$C$8,0))</f>
        <v>26</v>
      </c>
      <c r="E32" s="3">
        <f ca="1">IF(OR(D32=D31,D32=D31+1),Master_Data[[#This Row],[Column1]],D32-1)</f>
        <v>26</v>
      </c>
      <c r="F32" s="15">
        <f>SUM($G$9:G32)</f>
        <v>5.3756944444444441</v>
      </c>
      <c r="G32" s="24">
        <f>IF(Master_Data[[#This Row],[Lectures]]="D","",Master_Data[[#This Row],[Duration (hh:mm)]])</f>
        <v>0.11388888888888889</v>
      </c>
      <c r="H32" s="2" t="s">
        <v>197</v>
      </c>
      <c r="I32" s="2">
        <v>26</v>
      </c>
      <c r="J32" s="2" t="s">
        <v>110</v>
      </c>
      <c r="K32" s="39" t="s">
        <v>207</v>
      </c>
      <c r="L32" s="252">
        <v>1</v>
      </c>
      <c r="M32" s="16">
        <v>7</v>
      </c>
      <c r="N32" s="38">
        <v>2</v>
      </c>
      <c r="O32" s="38">
        <v>1</v>
      </c>
      <c r="P32" s="38">
        <v>2</v>
      </c>
      <c r="Q32" s="38">
        <v>3</v>
      </c>
      <c r="R32" s="38">
        <v>4</v>
      </c>
      <c r="S32" s="38">
        <v>5</v>
      </c>
      <c r="T32" s="13">
        <v>0.11388888888888889</v>
      </c>
      <c r="U32" s="37">
        <f>(SUM($T$9:T32)/$T$4)*100</f>
        <v>73.843365448821899</v>
      </c>
      <c r="V32" s="25" t="s">
        <v>6</v>
      </c>
      <c r="W32" s="25" t="s">
        <v>6</v>
      </c>
      <c r="X32" s="25" t="s">
        <v>6</v>
      </c>
      <c r="Y32" s="25" t="s">
        <v>6</v>
      </c>
      <c r="Z32" s="25" t="s">
        <v>6</v>
      </c>
      <c r="AA32" s="25" t="s">
        <v>6</v>
      </c>
      <c r="AB32" s="25" t="s">
        <v>6</v>
      </c>
      <c r="AC32" s="25" t="s">
        <v>6</v>
      </c>
      <c r="AD32" s="148">
        <v>3</v>
      </c>
      <c r="AE32" s="17"/>
      <c r="AF32" s="163">
        <f t="shared" si="0"/>
        <v>3.1007751937984496E-2</v>
      </c>
      <c r="AG32" s="164">
        <f>Master_Data[[#This Row],[Imp. Level]]/SUMIF(Master_Data[Subject],Master_Data[[#This Row],[Subject]],Master_Data[Imp. Level])</f>
        <v>0.13333333333333333</v>
      </c>
      <c r="AH32" s="146">
        <f>Master_Data[[#This Row],[Subjectwise weights]]*Master_Data[[#This Row],[Confidence Level]]</f>
        <v>0.4</v>
      </c>
      <c r="AI32" s="147" t="str">
        <f>IF(AND(Master_Data[[#This Row],[Inst. EOC Ques.]]="D",Master_Data[[#This Row],[Prac. Book]]="D"),"D","U")</f>
        <v>U</v>
      </c>
      <c r="AJ32" s="147" t="str">
        <f>IF(AND(Master_Data[[#This Row],[Inst. Online Portal]]="D",Master_Data[[#This Row],[Schweser Prac. Bk 1]]="D",Master_Data[[#This Row],[Schweser Prac. Bk 2]]="D"),"D","U")</f>
        <v>U</v>
      </c>
    </row>
    <row r="33" spans="2:36" ht="27" customHeight="1" x14ac:dyDescent="0.3">
      <c r="B33" s="3">
        <v>25.1</v>
      </c>
      <c r="C33" s="168" t="str">
        <f ca="1">IF(Master_Data[[#This Row],[Column1]]="Done","",IF(Master_Data[[#This Row],[Column1]]=MIN(Master_Data[Column1]),"Current Week",CONCATENATE("Week ",Master_Data[[#This Row],[Column1]])))</f>
        <v>Week 27</v>
      </c>
      <c r="D33" s="3">
        <f ca="1">IF(Master_Data[[#This Row],[Cum. Undone hrs]]=0,"Done",ROUNDUP(Master_Data[[#This Row],[Cum. Undone hrs]]/Working!$C$8,0))</f>
        <v>27</v>
      </c>
      <c r="E33" s="3">
        <f ca="1">IF(OR(D33=D32,D33=D32+1),Master_Data[[#This Row],[Column1]],D33-1)</f>
        <v>27</v>
      </c>
      <c r="F33" s="15">
        <f>SUM($G$9:G33)</f>
        <v>5.5118055555555552</v>
      </c>
      <c r="G33" s="24">
        <f>IF(Master_Data[[#This Row],[Lectures]]="D","",Master_Data[[#This Row],[Duration (hh:mm)]])</f>
        <v>0.1361111111111111</v>
      </c>
      <c r="H33" s="2" t="s">
        <v>197</v>
      </c>
      <c r="I33" s="2">
        <v>27</v>
      </c>
      <c r="J33" s="2" t="s">
        <v>111</v>
      </c>
      <c r="K33" s="39" t="s">
        <v>208</v>
      </c>
      <c r="L33" s="252">
        <v>1</v>
      </c>
      <c r="M33" s="16">
        <v>8</v>
      </c>
      <c r="N33" s="38">
        <v>2</v>
      </c>
      <c r="O33" s="38">
        <v>1</v>
      </c>
      <c r="P33" s="38">
        <v>2</v>
      </c>
      <c r="Q33" s="38">
        <v>3</v>
      </c>
      <c r="R33" s="38">
        <v>4</v>
      </c>
      <c r="S33" s="38">
        <v>5</v>
      </c>
      <c r="T33" s="13">
        <v>0.1361111111111111</v>
      </c>
      <c r="U33" s="37">
        <f>(SUM($T$9:T33)/$T$4)*100</f>
        <v>75.713059238767528</v>
      </c>
      <c r="V33" s="25" t="s">
        <v>6</v>
      </c>
      <c r="W33" s="25" t="s">
        <v>6</v>
      </c>
      <c r="X33" s="25" t="s">
        <v>6</v>
      </c>
      <c r="Y33" s="25" t="s">
        <v>6</v>
      </c>
      <c r="Z33" s="25" t="s">
        <v>6</v>
      </c>
      <c r="AA33" s="25" t="s">
        <v>6</v>
      </c>
      <c r="AB33" s="25" t="s">
        <v>6</v>
      </c>
      <c r="AC33" s="25" t="s">
        <v>6</v>
      </c>
      <c r="AD33" s="148">
        <v>2</v>
      </c>
      <c r="AE33" s="17"/>
      <c r="AF33" s="163">
        <f t="shared" si="0"/>
        <v>3.1007751937984496E-2</v>
      </c>
      <c r="AG33" s="164">
        <f>Master_Data[[#This Row],[Imp. Level]]/SUMIF(Master_Data[Subject],Master_Data[[#This Row],[Subject]],Master_Data[Imp. Level])</f>
        <v>0.13333333333333333</v>
      </c>
      <c r="AH33" s="146">
        <f>Master_Data[[#This Row],[Subjectwise weights]]*Master_Data[[#This Row],[Confidence Level]]</f>
        <v>0.26666666666666666</v>
      </c>
      <c r="AI33" s="147" t="str">
        <f>IF(AND(Master_Data[[#This Row],[Inst. EOC Ques.]]="D",Master_Data[[#This Row],[Prac. Book]]="D"),"D","U")</f>
        <v>U</v>
      </c>
      <c r="AJ33" s="147" t="str">
        <f>IF(AND(Master_Data[[#This Row],[Inst. Online Portal]]="D",Master_Data[[#This Row],[Schweser Prac. Bk 1]]="D",Master_Data[[#This Row],[Schweser Prac. Bk 2]]="D"),"D","U")</f>
        <v>U</v>
      </c>
    </row>
    <row r="34" spans="2:36" ht="27" customHeight="1" x14ac:dyDescent="0.3">
      <c r="B34" s="3">
        <v>26.1</v>
      </c>
      <c r="C34" s="168" t="str">
        <f ca="1">IF(Master_Data[[#This Row],[Column1]]="Done","",IF(Master_Data[[#This Row],[Column1]]=MIN(Master_Data[Column1]),"Current Week",CONCATENATE("Week ",Master_Data[[#This Row],[Column1]])))</f>
        <v>Week 28</v>
      </c>
      <c r="D34" s="3">
        <f ca="1">IF(Master_Data[[#This Row],[Cum. Undone hrs]]=0,"Done",ROUNDUP(Master_Data[[#This Row],[Cum. Undone hrs]]/Working!$C$8,0))</f>
        <v>28</v>
      </c>
      <c r="E34" s="3">
        <f ca="1">IF(OR(D34=D33,D34=D33+1),Master_Data[[#This Row],[Column1]],D34-1)</f>
        <v>28</v>
      </c>
      <c r="F34" s="15">
        <f>SUM($G$9:G34)</f>
        <v>5.7965277777777775</v>
      </c>
      <c r="G34" s="24">
        <f>IF(Master_Data[[#This Row],[Lectures]]="D","",Master_Data[[#This Row],[Duration (hh:mm)]])</f>
        <v>0.28472222222222221</v>
      </c>
      <c r="H34" s="2" t="s">
        <v>197</v>
      </c>
      <c r="I34" s="2">
        <v>28</v>
      </c>
      <c r="J34" s="2" t="s">
        <v>111</v>
      </c>
      <c r="K34" s="39" t="s">
        <v>209</v>
      </c>
      <c r="L34" s="252">
        <v>1</v>
      </c>
      <c r="M34" s="16">
        <v>5</v>
      </c>
      <c r="N34" s="38">
        <v>3</v>
      </c>
      <c r="O34" s="38">
        <v>2</v>
      </c>
      <c r="P34" s="38">
        <v>3</v>
      </c>
      <c r="Q34" s="38">
        <v>4</v>
      </c>
      <c r="R34" s="38">
        <v>3</v>
      </c>
      <c r="S34" s="38">
        <v>4</v>
      </c>
      <c r="T34" s="12">
        <v>0.28472222222222221</v>
      </c>
      <c r="U34" s="37">
        <f>(SUM($T$9:T34)/$T$4)*100</f>
        <v>79.624153391204814</v>
      </c>
      <c r="V34" s="25" t="s">
        <v>6</v>
      </c>
      <c r="W34" s="25" t="s">
        <v>6</v>
      </c>
      <c r="X34" s="25" t="s">
        <v>6</v>
      </c>
      <c r="Y34" s="25" t="s">
        <v>6</v>
      </c>
      <c r="Z34" s="25" t="s">
        <v>6</v>
      </c>
      <c r="AA34" s="25" t="s">
        <v>6</v>
      </c>
      <c r="AB34" s="25" t="s">
        <v>6</v>
      </c>
      <c r="AC34" s="25" t="s">
        <v>6</v>
      </c>
      <c r="AD34" s="148">
        <v>3</v>
      </c>
      <c r="AE34" s="17"/>
      <c r="AF34" s="163">
        <f t="shared" si="0"/>
        <v>2.3255813953488372E-2</v>
      </c>
      <c r="AG34" s="164">
        <f>Master_Data[[#This Row],[Imp. Level]]/SUMIF(Master_Data[Subject],Master_Data[[#This Row],[Subject]],Master_Data[Imp. Level])</f>
        <v>0.1</v>
      </c>
      <c r="AH34" s="146">
        <f>Master_Data[[#This Row],[Subjectwise weights]]*Master_Data[[#This Row],[Confidence Level]]</f>
        <v>0.30000000000000004</v>
      </c>
      <c r="AI34" s="147" t="str">
        <f>IF(AND(Master_Data[[#This Row],[Inst. EOC Ques.]]="D",Master_Data[[#This Row],[Prac. Book]]="D"),"D","U")</f>
        <v>U</v>
      </c>
      <c r="AJ34" s="147" t="str">
        <f>IF(AND(Master_Data[[#This Row],[Inst. Online Portal]]="D",Master_Data[[#This Row],[Schweser Prac. Bk 1]]="D",Master_Data[[#This Row],[Schweser Prac. Bk 2]]="D"),"D","U")</f>
        <v>U</v>
      </c>
    </row>
    <row r="35" spans="2:36" ht="27" customHeight="1" x14ac:dyDescent="0.3">
      <c r="B35" s="3">
        <v>27.1</v>
      </c>
      <c r="C35" s="168" t="str">
        <f ca="1">IF(Master_Data[[#This Row],[Column1]]="Done","",IF(Master_Data[[#This Row],[Column1]]=MIN(Master_Data[Column1]),"Current Week",CONCATENATE("Week ",Master_Data[[#This Row],[Column1]])))</f>
        <v>Week 29</v>
      </c>
      <c r="D35" s="3">
        <f ca="1">IF(Master_Data[[#This Row],[Cum. Undone hrs]]=0,"Done",ROUNDUP(Master_Data[[#This Row],[Cum. Undone hrs]]/Working!$C$8,0))</f>
        <v>29</v>
      </c>
      <c r="E35" s="3">
        <f ca="1">IF(OR(D35=D34,D35=D34+1),Master_Data[[#This Row],[Column1]],D35-1)</f>
        <v>29</v>
      </c>
      <c r="F35" s="15">
        <f>SUM($G$9:G35)</f>
        <v>6.0423611111111111</v>
      </c>
      <c r="G35" s="24">
        <f>IF(Master_Data[[#This Row],[Lectures]]="D","",Master_Data[[#This Row],[Duration (hh:mm)]])</f>
        <v>0.24583333333333335</v>
      </c>
      <c r="H35" s="2" t="s">
        <v>198</v>
      </c>
      <c r="I35" s="2">
        <v>23</v>
      </c>
      <c r="J35" s="2" t="s">
        <v>111</v>
      </c>
      <c r="K35" s="39" t="s">
        <v>191</v>
      </c>
      <c r="L35" s="252">
        <v>1</v>
      </c>
      <c r="M35" s="16">
        <v>9</v>
      </c>
      <c r="N35" s="38">
        <v>4</v>
      </c>
      <c r="O35" s="38">
        <v>3</v>
      </c>
      <c r="P35" s="38">
        <v>4</v>
      </c>
      <c r="Q35" s="38">
        <v>4</v>
      </c>
      <c r="R35" s="38">
        <v>4</v>
      </c>
      <c r="S35" s="38">
        <v>4</v>
      </c>
      <c r="T35" s="13">
        <v>0.24583333333333335</v>
      </c>
      <c r="U35" s="37">
        <f>(SUM($T$9:T35)/$T$4)*100</f>
        <v>83.001049317943341</v>
      </c>
      <c r="V35" s="25" t="s">
        <v>6</v>
      </c>
      <c r="W35" s="25" t="s">
        <v>6</v>
      </c>
      <c r="X35" s="25" t="s">
        <v>6</v>
      </c>
      <c r="Y35" s="25" t="s">
        <v>6</v>
      </c>
      <c r="Z35" s="25" t="s">
        <v>6</v>
      </c>
      <c r="AA35" s="25" t="s">
        <v>6</v>
      </c>
      <c r="AB35" s="25" t="s">
        <v>6</v>
      </c>
      <c r="AC35" s="25" t="s">
        <v>6</v>
      </c>
      <c r="AD35" s="148">
        <v>3</v>
      </c>
      <c r="AE35" s="17"/>
      <c r="AF35" s="163">
        <f t="shared" si="0"/>
        <v>3.1007751937984496E-2</v>
      </c>
      <c r="AG35" s="164">
        <f>Master_Data[[#This Row],[Imp. Level]]/SUMIF(Master_Data[Subject],Master_Data[[#This Row],[Subject]],Master_Data[Imp. Level])</f>
        <v>0.19047619047619047</v>
      </c>
      <c r="AH35" s="146">
        <f>Master_Data[[#This Row],[Subjectwise weights]]*Master_Data[[#This Row],[Confidence Level]]</f>
        <v>0.5714285714285714</v>
      </c>
      <c r="AI35" s="147" t="str">
        <f>IF(AND(Master_Data[[#This Row],[Inst. EOC Ques.]]="D",Master_Data[[#This Row],[Prac. Book]]="D"),"D","U")</f>
        <v>U</v>
      </c>
      <c r="AJ35" s="147" t="str">
        <f>IF(AND(Master_Data[[#This Row],[Inst. Online Portal]]="D",Master_Data[[#This Row],[Schweser Prac. Bk 1]]="D",Master_Data[[#This Row],[Schweser Prac. Bk 2]]="D"),"D","U")</f>
        <v>U</v>
      </c>
    </row>
    <row r="36" spans="2:36" ht="27" customHeight="1" x14ac:dyDescent="0.3">
      <c r="B36" s="3">
        <v>28.1</v>
      </c>
      <c r="C36" s="168" t="str">
        <f ca="1">IF(Master_Data[[#This Row],[Column1]]="Done","",IF(Master_Data[[#This Row],[Column1]]=MIN(Master_Data[Column1]),"Current Week",CONCATENATE("Week ",Master_Data[[#This Row],[Column1]])))</f>
        <v>Week 31</v>
      </c>
      <c r="D36" s="3">
        <f ca="1">IF(Master_Data[[#This Row],[Cum. Undone hrs]]=0,"Done",ROUNDUP(Master_Data[[#This Row],[Cum. Undone hrs]]/Working!$C$8,0))</f>
        <v>31</v>
      </c>
      <c r="E36" s="3">
        <f ca="1">IF(OR(D36=D35,D36=D35+1),Master_Data[[#This Row],[Column1]],D36-1)</f>
        <v>30</v>
      </c>
      <c r="F36" s="15">
        <f>SUM($G$9:G36)</f>
        <v>6.353472222222222</v>
      </c>
      <c r="G36" s="24">
        <f>IF(Master_Data[[#This Row],[Lectures]]="D","",Master_Data[[#This Row],[Duration (hh:mm)]])</f>
        <v>0.31111111111111112</v>
      </c>
      <c r="H36" s="2" t="s">
        <v>198</v>
      </c>
      <c r="I36" s="2">
        <v>24</v>
      </c>
      <c r="J36" s="2" t="s">
        <v>111</v>
      </c>
      <c r="K36" s="39" t="s">
        <v>186</v>
      </c>
      <c r="L36" s="252">
        <v>1</v>
      </c>
      <c r="M36" s="16">
        <v>16</v>
      </c>
      <c r="N36" s="38">
        <v>4</v>
      </c>
      <c r="O36" s="38">
        <v>3</v>
      </c>
      <c r="P36" s="38">
        <v>4</v>
      </c>
      <c r="Q36" s="38">
        <v>4</v>
      </c>
      <c r="R36" s="38">
        <v>5</v>
      </c>
      <c r="S36" s="38">
        <v>4</v>
      </c>
      <c r="T36" s="12">
        <v>0.31111111111111112</v>
      </c>
      <c r="U36" s="37">
        <f>(SUM($T$9:T36)/$T$4)*100</f>
        <v>87.274635123533344</v>
      </c>
      <c r="V36" s="25" t="s">
        <v>6</v>
      </c>
      <c r="W36" s="25" t="s">
        <v>6</v>
      </c>
      <c r="X36" s="25" t="s">
        <v>6</v>
      </c>
      <c r="Y36" s="25" t="s">
        <v>6</v>
      </c>
      <c r="Z36" s="25" t="s">
        <v>6</v>
      </c>
      <c r="AA36" s="25" t="s">
        <v>6</v>
      </c>
      <c r="AB36" s="25" t="s">
        <v>6</v>
      </c>
      <c r="AC36" s="25" t="s">
        <v>6</v>
      </c>
      <c r="AD36" s="148">
        <v>3</v>
      </c>
      <c r="AE36" s="17"/>
      <c r="AF36" s="163">
        <f t="shared" si="0"/>
        <v>3.875968992248062E-2</v>
      </c>
      <c r="AG36" s="164">
        <f>Master_Data[[#This Row],[Imp. Level]]/SUMIF(Master_Data[Subject],Master_Data[[#This Row],[Subject]],Master_Data[Imp. Level])</f>
        <v>0.23809523809523808</v>
      </c>
      <c r="AH36" s="146">
        <f>Master_Data[[#This Row],[Subjectwise weights]]*Master_Data[[#This Row],[Confidence Level]]</f>
        <v>0.71428571428571419</v>
      </c>
      <c r="AI36" s="147" t="str">
        <f>IF(AND(Master_Data[[#This Row],[Inst. EOC Ques.]]="D",Master_Data[[#This Row],[Prac. Book]]="D"),"D","U")</f>
        <v>U</v>
      </c>
      <c r="AJ36" s="147" t="str">
        <f>IF(AND(Master_Data[[#This Row],[Inst. Online Portal]]="D",Master_Data[[#This Row],[Schweser Prac. Bk 1]]="D",Master_Data[[#This Row],[Schweser Prac. Bk 2]]="D"),"D","U")</f>
        <v>U</v>
      </c>
    </row>
    <row r="37" spans="2:36" ht="27" customHeight="1" x14ac:dyDescent="0.3">
      <c r="B37" s="3">
        <v>29.1</v>
      </c>
      <c r="C37" s="168" t="str">
        <f ca="1">IF(Master_Data[[#This Row],[Column1]]="Done","",IF(Master_Data[[#This Row],[Column1]]=MIN(Master_Data[Column1]),"Current Week",CONCATENATE("Week ",Master_Data[[#This Row],[Column1]])))</f>
        <v>Week 32</v>
      </c>
      <c r="D37" s="3">
        <f ca="1">IF(Master_Data[[#This Row],[Cum. Undone hrs]]=0,"Done",ROUNDUP(Master_Data[[#This Row],[Cum. Undone hrs]]/Working!$C$8,0))</f>
        <v>32</v>
      </c>
      <c r="E37" s="3">
        <f ca="1">IF(OR(D37=D36,D37=D36+1),Master_Data[[#This Row],[Column1]],D37-1)</f>
        <v>32</v>
      </c>
      <c r="F37" s="15">
        <f>SUM($G$9:G37)</f>
        <v>6.5062499999999996</v>
      </c>
      <c r="G37" s="24">
        <f>IF(Master_Data[[#This Row],[Lectures]]="D","",Master_Data[[#This Row],[Duration (hh:mm)]])</f>
        <v>0.15277777777777776</v>
      </c>
      <c r="H37" s="2" t="s">
        <v>198</v>
      </c>
      <c r="I37" s="2">
        <v>25</v>
      </c>
      <c r="J37" s="2" t="s">
        <v>111</v>
      </c>
      <c r="K37" s="39" t="s">
        <v>187</v>
      </c>
      <c r="L37" s="252">
        <v>1</v>
      </c>
      <c r="M37" s="16">
        <v>9</v>
      </c>
      <c r="N37" s="38">
        <v>3</v>
      </c>
      <c r="O37" s="38">
        <v>1</v>
      </c>
      <c r="P37" s="38">
        <v>3</v>
      </c>
      <c r="Q37" s="38">
        <v>3</v>
      </c>
      <c r="R37" s="38">
        <v>3</v>
      </c>
      <c r="S37" s="38">
        <v>3</v>
      </c>
      <c r="T37" s="13">
        <v>0.15277777777777776</v>
      </c>
      <c r="U37" s="37">
        <f>(SUM($T$9:T37)/$T$4)*100</f>
        <v>89.373271010207006</v>
      </c>
      <c r="V37" s="25" t="s">
        <v>6</v>
      </c>
      <c r="W37" s="25" t="s">
        <v>6</v>
      </c>
      <c r="X37" s="25" t="s">
        <v>6</v>
      </c>
      <c r="Y37" s="25" t="s">
        <v>6</v>
      </c>
      <c r="Z37" s="25" t="s">
        <v>6</v>
      </c>
      <c r="AA37" s="25" t="s">
        <v>6</v>
      </c>
      <c r="AB37" s="25" t="s">
        <v>6</v>
      </c>
      <c r="AC37" s="25" t="s">
        <v>6</v>
      </c>
      <c r="AD37" s="148">
        <v>2</v>
      </c>
      <c r="AE37" s="17"/>
      <c r="AF37" s="163">
        <f t="shared" si="0"/>
        <v>2.3255813953488372E-2</v>
      </c>
      <c r="AG37" s="164">
        <f>Master_Data[[#This Row],[Imp. Level]]/SUMIF(Master_Data[Subject],Master_Data[[#This Row],[Subject]],Master_Data[Imp. Level])</f>
        <v>0.14285714285714285</v>
      </c>
      <c r="AH37" s="146">
        <f>Master_Data[[#This Row],[Subjectwise weights]]*Master_Data[[#This Row],[Confidence Level]]</f>
        <v>0.2857142857142857</v>
      </c>
      <c r="AI37" s="147" t="str">
        <f>IF(AND(Master_Data[[#This Row],[Inst. EOC Ques.]]="D",Master_Data[[#This Row],[Prac. Book]]="D"),"D","U")</f>
        <v>U</v>
      </c>
      <c r="AJ37" s="147" t="str">
        <f>IF(AND(Master_Data[[#This Row],[Inst. Online Portal]]="D",Master_Data[[#This Row],[Schweser Prac. Bk 1]]="D",Master_Data[[#This Row],[Schweser Prac. Bk 2]]="D"),"D","U")</f>
        <v>U</v>
      </c>
    </row>
    <row r="38" spans="2:36" ht="27" customHeight="1" x14ac:dyDescent="0.3">
      <c r="B38" s="3">
        <v>30.1</v>
      </c>
      <c r="C38" s="168" t="str">
        <f ca="1">IF(Master_Data[[#This Row],[Column1]]="Done","",IF(Master_Data[[#This Row],[Column1]]=MIN(Master_Data[Column1]),"Current Week",CONCATENATE("Week ",Master_Data[[#This Row],[Column1]])))</f>
        <v>Week 33</v>
      </c>
      <c r="D38" s="3">
        <f ca="1">IF(Master_Data[[#This Row],[Cum. Undone hrs]]=0,"Done",ROUNDUP(Master_Data[[#This Row],[Cum. Undone hrs]]/Working!$C$8,0))</f>
        <v>33</v>
      </c>
      <c r="E38" s="3">
        <f ca="1">IF(OR(D38=D37,D38=D37+1),Master_Data[[#This Row],[Column1]],D38-1)</f>
        <v>33</v>
      </c>
      <c r="F38" s="15">
        <f>SUM($G$9:G38)</f>
        <v>6.7555555555555555</v>
      </c>
      <c r="G38" s="24">
        <f>IF(Master_Data[[#This Row],[Lectures]]="D","",Master_Data[[#This Row],[Duration (hh:mm)]])</f>
        <v>0.24930555555555556</v>
      </c>
      <c r="H38" s="2" t="s">
        <v>10</v>
      </c>
      <c r="I38" s="2">
        <v>1</v>
      </c>
      <c r="J38" s="2" t="s">
        <v>110</v>
      </c>
      <c r="K38" s="39" t="s">
        <v>199</v>
      </c>
      <c r="L38" s="252">
        <v>1</v>
      </c>
      <c r="M38" s="16">
        <v>10</v>
      </c>
      <c r="N38" s="38">
        <v>2</v>
      </c>
      <c r="O38" s="38">
        <v>1</v>
      </c>
      <c r="P38" s="38">
        <v>3</v>
      </c>
      <c r="Q38" s="38">
        <v>4</v>
      </c>
      <c r="R38" s="38">
        <v>4</v>
      </c>
      <c r="S38" s="38">
        <v>5</v>
      </c>
      <c r="T38" s="13">
        <v>0.24930555555555556</v>
      </c>
      <c r="U38" s="37">
        <f>(SUM($T$9:T38)/$T$4)*100</f>
        <v>92.797863207097208</v>
      </c>
      <c r="V38" s="25" t="s">
        <v>6</v>
      </c>
      <c r="W38" s="25" t="s">
        <v>6</v>
      </c>
      <c r="X38" s="25" t="s">
        <v>6</v>
      </c>
      <c r="Y38" s="25" t="s">
        <v>6</v>
      </c>
      <c r="Z38" s="25" t="s">
        <v>6</v>
      </c>
      <c r="AA38" s="25" t="s">
        <v>6</v>
      </c>
      <c r="AB38" s="25" t="s">
        <v>6</v>
      </c>
      <c r="AC38" s="25" t="s">
        <v>6</v>
      </c>
      <c r="AD38" s="148">
        <v>2</v>
      </c>
      <c r="AE38" s="17"/>
      <c r="AF38" s="163">
        <f t="shared" si="0"/>
        <v>3.1007751937984496E-2</v>
      </c>
      <c r="AG38" s="164">
        <f>Master_Data[[#This Row],[Imp. Level]]/SUMIF(Master_Data[Subject],Master_Data[[#This Row],[Subject]],Master_Data[Imp. Level])</f>
        <v>0.33333333333333331</v>
      </c>
      <c r="AH38" s="146">
        <f>Master_Data[[#This Row],[Subjectwise weights]]*Master_Data[[#This Row],[Confidence Level]]</f>
        <v>0.66666666666666663</v>
      </c>
      <c r="AI38" s="147" t="str">
        <f>IF(AND(Master_Data[[#This Row],[Inst. EOC Ques.]]="D",Master_Data[[#This Row],[Prac. Book]]="D"),"D","U")</f>
        <v>U</v>
      </c>
      <c r="AJ38" s="147" t="str">
        <f>IF(AND(Master_Data[[#This Row],[Inst. Online Portal]]="D",Master_Data[[#This Row],[Schweser Prac. Bk 1]]="D",Master_Data[[#This Row],[Schweser Prac. Bk 2]]="D"),"D","U")</f>
        <v>U</v>
      </c>
    </row>
    <row r="39" spans="2:36" ht="27" customHeight="1" x14ac:dyDescent="0.3">
      <c r="B39" s="3">
        <v>31.1</v>
      </c>
      <c r="C39" s="168" t="str">
        <f ca="1">IF(Master_Data[[#This Row],[Column1]]="Done","",IF(Master_Data[[#This Row],[Column1]]=MIN(Master_Data[Column1]),"Current Week",CONCATENATE("Week ",Master_Data[[#This Row],[Column1]])))</f>
        <v>Week 34</v>
      </c>
      <c r="D39" s="3">
        <f ca="1">IF(Master_Data[[#This Row],[Cum. Undone hrs]]=0,"Done",ROUNDUP(Master_Data[[#This Row],[Cum. Undone hrs]]/Working!$C$8,0))</f>
        <v>34</v>
      </c>
      <c r="E39" s="3">
        <f ca="1">IF(OR(D39=D38,D39=D38+1),Master_Data[[#This Row],[Column1]],D39-1)</f>
        <v>34</v>
      </c>
      <c r="F39" s="15">
        <f>SUM($G$9:G39)</f>
        <v>7.0854166666666663</v>
      </c>
      <c r="G39" s="24">
        <f>IF(Master_Data[[#This Row],[Lectures]]="D","",Master_Data[[#This Row],[Duration (hh:mm)]])</f>
        <v>0.3298611111111111</v>
      </c>
      <c r="H39" s="2" t="s">
        <v>10</v>
      </c>
      <c r="I39" s="2">
        <v>2</v>
      </c>
      <c r="J39" s="2" t="s">
        <v>111</v>
      </c>
      <c r="K39" s="39" t="s">
        <v>200</v>
      </c>
      <c r="L39" s="252">
        <v>1</v>
      </c>
      <c r="M39" s="16">
        <v>8</v>
      </c>
      <c r="N39" s="38">
        <v>2</v>
      </c>
      <c r="O39" s="38">
        <v>3</v>
      </c>
      <c r="P39" s="38">
        <v>3</v>
      </c>
      <c r="Q39" s="38">
        <v>4</v>
      </c>
      <c r="R39" s="38">
        <v>4</v>
      </c>
      <c r="S39" s="38">
        <v>5</v>
      </c>
      <c r="T39" s="13">
        <v>0.3298611111111111</v>
      </c>
      <c r="U39" s="37">
        <f>(SUM($T$9:T39)/$T$4)*100</f>
        <v>97.329008871506247</v>
      </c>
      <c r="V39" s="25" t="s">
        <v>6</v>
      </c>
      <c r="W39" s="25" t="s">
        <v>6</v>
      </c>
      <c r="X39" s="25" t="s">
        <v>6</v>
      </c>
      <c r="Y39" s="25" t="s">
        <v>6</v>
      </c>
      <c r="Z39" s="25" t="s">
        <v>6</v>
      </c>
      <c r="AA39" s="25" t="s">
        <v>6</v>
      </c>
      <c r="AB39" s="25" t="s">
        <v>6</v>
      </c>
      <c r="AC39" s="25" t="s">
        <v>6</v>
      </c>
      <c r="AD39" s="148">
        <v>3</v>
      </c>
      <c r="AE39" s="17"/>
      <c r="AF39" s="163">
        <f t="shared" si="0"/>
        <v>3.1007751937984496E-2</v>
      </c>
      <c r="AG39" s="164">
        <f>Master_Data[[#This Row],[Imp. Level]]/SUMIF(Master_Data[Subject],Master_Data[[#This Row],[Subject]],Master_Data[Imp. Level])</f>
        <v>0.33333333333333331</v>
      </c>
      <c r="AH39" s="146">
        <f>Master_Data[[#This Row],[Subjectwise weights]]*Master_Data[[#This Row],[Confidence Level]]</f>
        <v>1</v>
      </c>
      <c r="AI39" s="147" t="str">
        <f>IF(AND(Master_Data[[#This Row],[Inst. EOC Ques.]]="D",Master_Data[[#This Row],[Prac. Book]]="D"),"D","U")</f>
        <v>U</v>
      </c>
      <c r="AJ39" s="147" t="str">
        <f>IF(AND(Master_Data[[#This Row],[Inst. Online Portal]]="D",Master_Data[[#This Row],[Schweser Prac. Bk 1]]="D",Master_Data[[#This Row],[Schweser Prac. Bk 2]]="D"),"D","U")</f>
        <v>U</v>
      </c>
    </row>
    <row r="40" spans="2:36" ht="27" customHeight="1" x14ac:dyDescent="0.3">
      <c r="B40" s="3">
        <v>32.1</v>
      </c>
      <c r="C40" s="168" t="str">
        <f ca="1">IF(Master_Data[[#This Row],[Column1]]="Done","",IF(Master_Data[[#This Row],[Column1]]=MIN(Master_Data[Column1]),"Current Week",CONCATENATE("Week ",Master_Data[[#This Row],[Column1]])))</f>
        <v>Week 35</v>
      </c>
      <c r="D40" s="3">
        <f ca="1">IF(Master_Data[[#This Row],[Cum. Undone hrs]]=0,"Done",ROUNDUP(Master_Data[[#This Row],[Cum. Undone hrs]]/Working!$C$8,0))</f>
        <v>35</v>
      </c>
      <c r="E40" s="3">
        <f ca="1">IF(OR(D40=D39,D40=D39+1),Master_Data[[#This Row],[Column1]],D40-1)</f>
        <v>35</v>
      </c>
      <c r="F40" s="15">
        <f>SUM($G$9:G40)</f>
        <v>7.2798611111111109</v>
      </c>
      <c r="G40" s="24">
        <f>IF(Master_Data[[#This Row],[Lectures]]="D","",Master_Data[[#This Row],[Duration (hh:mm)]])</f>
        <v>0.19444444444444445</v>
      </c>
      <c r="H40" s="2" t="s">
        <v>9</v>
      </c>
      <c r="I40" s="2">
        <v>33</v>
      </c>
      <c r="J40" s="2" t="s">
        <v>111</v>
      </c>
      <c r="K40" s="39" t="s">
        <v>188</v>
      </c>
      <c r="L40" s="252">
        <v>1</v>
      </c>
      <c r="M40" s="16">
        <v>10</v>
      </c>
      <c r="N40" s="38">
        <v>4</v>
      </c>
      <c r="O40" s="38">
        <v>2</v>
      </c>
      <c r="P40" s="38">
        <v>4</v>
      </c>
      <c r="Q40" s="38">
        <v>5</v>
      </c>
      <c r="R40" s="38">
        <v>4</v>
      </c>
      <c r="S40" s="38">
        <v>5</v>
      </c>
      <c r="T40" s="12">
        <v>0.19444444444444445</v>
      </c>
      <c r="U40" s="37">
        <f>(SUM($T$9:T40)/$T$4)*100</f>
        <v>100</v>
      </c>
      <c r="V40" s="25" t="s">
        <v>6</v>
      </c>
      <c r="W40" s="25" t="s">
        <v>6</v>
      </c>
      <c r="X40" s="25" t="s">
        <v>6</v>
      </c>
      <c r="Y40" s="25" t="s">
        <v>6</v>
      </c>
      <c r="Z40" s="25" t="s">
        <v>6</v>
      </c>
      <c r="AA40" s="25" t="s">
        <v>6</v>
      </c>
      <c r="AB40" s="25" t="s">
        <v>6</v>
      </c>
      <c r="AC40" s="25" t="s">
        <v>6</v>
      </c>
      <c r="AD40" s="148">
        <v>2</v>
      </c>
      <c r="AE40" s="17"/>
      <c r="AF40" s="163">
        <f t="shared" si="0"/>
        <v>3.1007751937984496E-2</v>
      </c>
      <c r="AG40" s="164">
        <f>Master_Data[[#This Row],[Imp. Level]]/SUMIF(Master_Data[Subject],Master_Data[[#This Row],[Subject]],Master_Data[Imp. Level])</f>
        <v>0.23529411764705882</v>
      </c>
      <c r="AH40" s="146">
        <f>Master_Data[[#This Row],[Subjectwise weights]]*Master_Data[[#This Row],[Confidence Level]]</f>
        <v>0.47058823529411764</v>
      </c>
      <c r="AI40" s="147" t="str">
        <f>IF(AND(Master_Data[[#This Row],[Inst. EOC Ques.]]="D",Master_Data[[#This Row],[Prac. Book]]="D"),"D","U")</f>
        <v>U</v>
      </c>
      <c r="AJ40" s="147" t="str">
        <f>IF(AND(Master_Data[[#This Row],[Inst. Online Portal]]="D",Master_Data[[#This Row],[Schweser Prac. Bk 1]]="D",Master_Data[[#This Row],[Schweser Prac. Bk 2]]="D"),"D","U")</f>
        <v>U</v>
      </c>
    </row>
  </sheetData>
  <sheetProtection algorithmName="SHA-512" hashValue="9Qx7oO1EKh95BNsSDODRUyE/UkTeY+GMzxIZAVngMDNUaIQ00HiqsiKb9h9qXXfaxwAHRbEzV7/NE1+aYcRiGA==" saltValue="qsFg3Fc3xQv6rbDQKRMzgA==" spinCount="100000" sheet="1" selectLockedCells="1"/>
  <mergeCells count="3">
    <mergeCell ref="B4:Q5"/>
    <mergeCell ref="R4:S4"/>
    <mergeCell ref="R5:S5"/>
  </mergeCells>
  <phoneticPr fontId="30" type="noConversion"/>
  <conditionalFormatting sqref="C9:C40">
    <cfRule type="containsText" dxfId="57" priority="5" operator="containsText" text="Current Week">
      <formula>NOT(ISERROR(SEARCH("Current Week",C9)))</formula>
    </cfRule>
  </conditionalFormatting>
  <conditionalFormatting sqref="K9:L40">
    <cfRule type="expression" dxfId="56" priority="29">
      <formula>$J9="changes"</formula>
    </cfRule>
    <cfRule type="expression" dxfId="55" priority="30">
      <formula>$J9="new"</formula>
    </cfRule>
  </conditionalFormatting>
  <conditionalFormatting sqref="M9:M40">
    <cfRule type="colorScale" priority="284">
      <colorScale>
        <cfvo type="min"/>
        <cfvo type="max"/>
        <color theme="2" tint="-9.9978637043366805E-2"/>
        <color theme="2" tint="-0.749992370372631"/>
      </colorScale>
    </cfRule>
  </conditionalFormatting>
  <conditionalFormatting sqref="N9:S40">
    <cfRule type="colorScale" priority="286">
      <colorScale>
        <cfvo type="min"/>
        <cfvo type="max"/>
        <color theme="0"/>
        <color theme="0" tint="-0.14999847407452621"/>
      </colorScale>
    </cfRule>
  </conditionalFormatting>
  <conditionalFormatting sqref="T4:T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40">
    <cfRule type="colorScale" priority="288">
      <colorScale>
        <cfvo type="min"/>
        <cfvo type="max"/>
        <color theme="0"/>
        <color theme="7" tint="0.39997558519241921"/>
      </colorScale>
    </cfRule>
  </conditionalFormatting>
  <conditionalFormatting sqref="U4:U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40">
    <cfRule type="dataBar" priority="290">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V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C40">
    <cfRule type="containsText" dxfId="54" priority="13" operator="containsText" text="D">
      <formula>NOT(ISERROR(SEARCH("D",V9)))</formula>
    </cfRule>
    <cfRule type="containsText" dxfId="53" priority="14" operator="containsText" text="U">
      <formula>NOT(ISERROR(SEARCH("U",V9)))</formula>
    </cfRule>
  </conditionalFormatting>
  <conditionalFormatting sqref="W4:W5">
    <cfRule type="dataBar" priority="24">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X4:X5">
    <cfRule type="dataBar" priority="23">
      <dataBar>
        <cfvo type="min"/>
        <cfvo type="max"/>
        <color theme="0" tint="-0.14999847407452621"/>
      </dataBar>
      <extLst>
        <ext xmlns:x14="http://schemas.microsoft.com/office/spreadsheetml/2009/9/main" uri="{B025F937-C7B1-47D3-B67F-A62EFF666E3E}">
          <x14:id>{4265BF65-A0B5-4DF7-B865-7BD036217E09}</x14:id>
        </ext>
      </extLst>
    </cfRule>
  </conditionalFormatting>
  <conditionalFormatting sqref="Y4:Y5">
    <cfRule type="dataBar" priority="22">
      <dataBar>
        <cfvo type="min"/>
        <cfvo type="max"/>
        <color theme="0" tint="-0.14999847407452621"/>
      </dataBar>
      <extLst>
        <ext xmlns:x14="http://schemas.microsoft.com/office/spreadsheetml/2009/9/main" uri="{B025F937-C7B1-47D3-B67F-A62EFF666E3E}">
          <x14:id>{9BE8110B-EB62-4E75-A581-7C36645F8D08}</x14:id>
        </ext>
      </extLst>
    </cfRule>
  </conditionalFormatting>
  <conditionalFormatting sqref="Z4:Z5">
    <cfRule type="dataBar" priority="21">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AA4:AA5">
    <cfRule type="dataBar" priority="20">
      <dataBar>
        <cfvo type="min"/>
        <cfvo type="max"/>
        <color theme="0" tint="-0.14999847407452621"/>
      </dataBar>
      <extLst>
        <ext xmlns:x14="http://schemas.microsoft.com/office/spreadsheetml/2009/9/main" uri="{B025F937-C7B1-47D3-B67F-A62EFF666E3E}">
          <x14:id>{20181D46-869C-471E-A172-D176686E8640}</x14:id>
        </ext>
      </extLst>
    </cfRule>
  </conditionalFormatting>
  <conditionalFormatting sqref="AB4:AB5">
    <cfRule type="dataBar" priority="18">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AC4:AC5">
    <cfRule type="dataBar" priority="17">
      <dataBar>
        <cfvo type="min"/>
        <cfvo type="max"/>
        <color theme="0" tint="-0.14999847407452621"/>
      </dataBar>
      <extLst>
        <ext xmlns:x14="http://schemas.microsoft.com/office/spreadsheetml/2009/9/main" uri="{B025F937-C7B1-47D3-B67F-A62EFF666E3E}">
          <x14:id>{7D297F2C-EECD-492F-B384-F2E5B1B705BF}</x14:id>
        </ext>
      </extLst>
    </cfRule>
  </conditionalFormatting>
  <conditionalFormatting sqref="AD4:AD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D9:AD40">
    <cfRule type="colorScale" priority="296">
      <colorScale>
        <cfvo type="min"/>
        <cfvo type="max"/>
        <color theme="0"/>
        <color theme="0" tint="-0.14999847407452621"/>
      </colorScale>
    </cfRule>
  </conditionalFormatting>
  <conditionalFormatting sqref="AG9:AG40">
    <cfRule type="expression" dxfId="52" priority="7">
      <formula>#REF!="C"</formula>
    </cfRule>
    <cfRule type="expression" dxfId="51" priority="8">
      <formula>#REF!="B"</formula>
    </cfRule>
    <cfRule type="expression" dxfId="50" priority="9">
      <formula>#REF!="A"</formula>
    </cfRule>
  </conditionalFormatting>
  <dataValidations count="2">
    <dataValidation type="whole" allowBlank="1" showInputMessage="1" showErrorMessage="1" errorTitle="Confidence Level" error="Please Rate your Confidence Level on the Scale of 1-5." sqref="AD9:AD40" xr:uid="{6CB7B2CB-1406-4433-95D0-2AC9E3606557}">
      <formula1>1</formula1>
      <formula2>5</formula2>
    </dataValidation>
    <dataValidation type="list" allowBlank="1" showInputMessage="1" sqref="V9:AC40"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U9:U40</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4265BF65-A0B5-4DF7-B865-7BD036217E09}">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9BE8110B-EB62-4E75-A581-7C36645F8D08}">
            <x14:dataBar minLength="0" maxLength="100" gradient="0">
              <x14:cfvo type="autoMin"/>
              <x14:cfvo type="autoMax"/>
              <x14:negativeFillColor rgb="FFFF0000"/>
              <x14:axisColor rgb="FF000000"/>
            </x14:dataBar>
          </x14:cfRule>
          <xm:sqref>Y4:Y5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Z4:Z5</xm:sqref>
        </x14:conditionalFormatting>
        <x14:conditionalFormatting xmlns:xm="http://schemas.microsoft.com/office/excel/2006/main">
          <x14:cfRule type="dataBar" id="{20181D46-869C-471E-A172-D176686E8640}">
            <x14:dataBar minLength="0" maxLength="100" gradient="0">
              <x14:cfvo type="autoMin"/>
              <x14:cfvo type="autoMax"/>
              <x14:negativeFillColor rgb="FFFF0000"/>
              <x14:axisColor rgb="FF000000"/>
            </x14:dataBar>
          </x14:cfRule>
          <xm:sqref>AA4:AA5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AB4:AB5</xm:sqref>
        </x14:conditionalFormatting>
        <x14:conditionalFormatting xmlns:xm="http://schemas.microsoft.com/office/excel/2006/main">
          <x14:cfRule type="dataBar" id="{7D297F2C-EECD-492F-B384-F2E5B1B705BF}">
            <x14:dataBar minLength="0" maxLength="100" gradient="0">
              <x14:cfvo type="autoMin"/>
              <x14:cfvo type="autoMax"/>
              <x14:negativeFillColor rgb="FFFF0000"/>
              <x14:axisColor rgb="FF000000"/>
            </x14:dataBar>
          </x14:cfRule>
          <xm:sqref>AC4:AC5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AD4:AD5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A1:AM88"/>
  <sheetViews>
    <sheetView showGridLines="0" zoomScale="70" zoomScaleNormal="70" workbookViewId="0">
      <selection activeCell="C46" sqref="C46"/>
    </sheetView>
  </sheetViews>
  <sheetFormatPr defaultColWidth="9.1796875" defaultRowHeight="15.5" x14ac:dyDescent="0.35"/>
  <cols>
    <col min="1" max="1" width="9.1796875" style="26"/>
    <col min="2" max="2" width="3.453125" style="26" customWidth="1"/>
    <col min="3" max="3" width="23.81640625" style="26" customWidth="1"/>
    <col min="4" max="4" width="12.1796875" style="26" customWidth="1"/>
    <col min="5" max="5" width="9.81640625" style="26" customWidth="1"/>
    <col min="6" max="6" width="11.7265625" style="26" customWidth="1"/>
    <col min="7" max="7" width="10.54296875" style="26" customWidth="1"/>
    <col min="8" max="8" width="10.7265625" style="26" customWidth="1"/>
    <col min="9" max="13" width="10.7265625" style="27" customWidth="1"/>
    <col min="14" max="14" width="12.26953125" style="27" customWidth="1"/>
    <col min="15" max="15" width="10.54296875" style="26" customWidth="1"/>
    <col min="16" max="16" width="9.1796875" style="28"/>
    <col min="17" max="17" width="10.26953125" style="28" customWidth="1"/>
    <col min="18" max="18" width="12" style="28" customWidth="1"/>
    <col min="19" max="19" width="4.453125" style="28" customWidth="1"/>
    <col min="20" max="20" width="11.54296875" style="28" customWidth="1"/>
    <col min="21" max="21" width="17.1796875" style="28" bestFit="1" customWidth="1"/>
    <col min="22" max="29" width="9.1796875" style="28"/>
    <col min="30" max="16384" width="9.1796875" style="26"/>
  </cols>
  <sheetData>
    <row r="1" spans="2:23" ht="8.5" customHeight="1" x14ac:dyDescent="0.35"/>
    <row r="2" spans="2:23" s="71" customFormat="1" ht="15.75" customHeight="1" x14ac:dyDescent="0.35">
      <c r="C2" s="274" t="s">
        <v>8</v>
      </c>
      <c r="D2" s="274"/>
      <c r="E2" s="274"/>
      <c r="F2" s="274"/>
      <c r="G2" s="274"/>
      <c r="H2" s="274"/>
      <c r="I2" s="274"/>
      <c r="J2" s="274"/>
      <c r="K2" s="274"/>
      <c r="L2" s="274"/>
      <c r="M2" s="274"/>
      <c r="N2" s="274"/>
      <c r="O2" s="274"/>
    </row>
    <row r="3" spans="2:23" s="71" customFormat="1" ht="11.5" customHeight="1" x14ac:dyDescent="0.35">
      <c r="C3" s="274"/>
      <c r="D3" s="274"/>
      <c r="E3" s="274"/>
      <c r="F3" s="274"/>
      <c r="G3" s="274"/>
      <c r="H3" s="274"/>
      <c r="I3" s="274"/>
      <c r="J3" s="274"/>
      <c r="K3" s="274"/>
      <c r="L3" s="274"/>
      <c r="M3" s="274"/>
      <c r="N3" s="274"/>
      <c r="O3" s="274"/>
    </row>
    <row r="4" spans="2:23" s="28" customFormat="1" ht="11.5" customHeight="1" x14ac:dyDescent="0.35">
      <c r="C4" s="50"/>
      <c r="D4" s="50"/>
      <c r="E4" s="50"/>
      <c r="F4" s="50"/>
      <c r="G4" s="50"/>
      <c r="H4" s="50"/>
      <c r="I4" s="50"/>
      <c r="J4" s="50"/>
      <c r="K4" s="50"/>
      <c r="L4" s="50"/>
      <c r="M4" s="50"/>
      <c r="N4" s="50"/>
      <c r="O4" s="50"/>
    </row>
    <row r="5" spans="2:23" s="28" customFormat="1" ht="11.5" customHeight="1" x14ac:dyDescent="0.35">
      <c r="B5" s="281" t="str">
        <f>CONCATENATE("The graph below, with respect to the practice is a simple average of the ",'⏱ Input'!X8," and ",'⏱ Input'!Y8," and extra practice is a simple average of the ",'⏱ Input'!AA8,", ",'⏱ Input'!AB8," and ",'⏱ Input'!AC8,".")</f>
        <v>The graph below, with respect to the practice is a simple average of the Inst. EOC Ques. and Prac. Book and extra practice is a simple average of the Inst. Online Portal, Schweser Prac. Bk 1 and Schweser Prac. Bk 2.</v>
      </c>
      <c r="C5" s="281"/>
      <c r="D5" s="281"/>
      <c r="E5" s="281"/>
      <c r="F5" s="281"/>
      <c r="G5" s="281"/>
      <c r="H5" s="281"/>
      <c r="I5" s="281"/>
      <c r="J5" s="281"/>
      <c r="K5" s="281"/>
      <c r="L5" s="281"/>
      <c r="M5" s="281"/>
      <c r="N5" s="281"/>
      <c r="O5" s="281"/>
      <c r="P5" s="281"/>
      <c r="Q5" s="281"/>
      <c r="R5" s="51"/>
      <c r="S5" s="51"/>
      <c r="T5" s="51"/>
      <c r="U5" s="51"/>
      <c r="V5" s="51"/>
      <c r="W5" s="51"/>
    </row>
    <row r="6" spans="2:23" s="28" customFormat="1" ht="32.5" customHeight="1" x14ac:dyDescent="0.35">
      <c r="B6" s="281"/>
      <c r="C6" s="281"/>
      <c r="D6" s="281"/>
      <c r="E6" s="281"/>
      <c r="F6" s="281"/>
      <c r="G6" s="281"/>
      <c r="H6" s="281"/>
      <c r="I6" s="281"/>
      <c r="J6" s="281"/>
      <c r="K6" s="281"/>
      <c r="L6" s="281"/>
      <c r="M6" s="281"/>
      <c r="N6" s="281"/>
      <c r="O6" s="281"/>
      <c r="P6" s="281"/>
      <c r="Q6" s="281"/>
      <c r="R6" s="51"/>
      <c r="S6" s="51"/>
      <c r="T6" s="51"/>
      <c r="U6" s="51"/>
      <c r="V6" s="51"/>
      <c r="W6" s="51"/>
    </row>
    <row r="7" spans="2:23" s="28" customFormat="1" ht="15.75" customHeight="1" x14ac:dyDescent="0.35">
      <c r="I7" s="27"/>
      <c r="J7" s="27"/>
      <c r="K7" s="27"/>
      <c r="L7" s="27"/>
      <c r="M7" s="27"/>
      <c r="N7" s="27"/>
      <c r="O7" s="26"/>
    </row>
    <row r="8" spans="2:23" s="28" customFormat="1" ht="15.75" customHeight="1" x14ac:dyDescent="0.35">
      <c r="H8" s="28" t="s">
        <v>165</v>
      </c>
      <c r="I8" s="27"/>
      <c r="J8" s="27"/>
      <c r="K8" s="27"/>
      <c r="L8" s="27"/>
      <c r="M8" s="27"/>
      <c r="N8" s="27"/>
      <c r="O8" s="26"/>
    </row>
    <row r="9" spans="2:23" s="28" customFormat="1" ht="15.75" customHeight="1" x14ac:dyDescent="0.35">
      <c r="I9" s="27"/>
      <c r="J9" s="27"/>
      <c r="K9" s="27"/>
      <c r="L9" s="27"/>
      <c r="M9" s="27"/>
      <c r="N9" s="27"/>
      <c r="O9" s="26"/>
    </row>
    <row r="10" spans="2:23" s="28" customFormat="1" ht="15.75" customHeight="1" x14ac:dyDescent="0.35">
      <c r="I10" s="27"/>
      <c r="J10" s="27"/>
      <c r="K10" s="27"/>
      <c r="L10" s="27"/>
      <c r="M10" s="27"/>
      <c r="N10" s="27"/>
      <c r="O10" s="26"/>
      <c r="S10" s="142" t="s">
        <v>91</v>
      </c>
      <c r="T10" s="143"/>
    </row>
    <row r="11" spans="2:23" s="28" customFormat="1" ht="15.75" customHeight="1" x14ac:dyDescent="0.35">
      <c r="I11" s="27"/>
      <c r="J11" s="27"/>
      <c r="K11" s="27"/>
      <c r="L11" s="27"/>
      <c r="M11" s="27"/>
      <c r="N11" s="27"/>
      <c r="O11" s="26"/>
      <c r="S11" s="4"/>
      <c r="T11" s="26" t="s">
        <v>16</v>
      </c>
    </row>
    <row r="12" spans="2:23" s="28" customFormat="1" ht="15.75" customHeight="1" x14ac:dyDescent="0.35">
      <c r="I12" s="27"/>
      <c r="J12" s="27"/>
      <c r="K12" s="27"/>
      <c r="L12" s="27"/>
      <c r="M12" s="27"/>
      <c r="N12" s="27"/>
      <c r="O12" s="26"/>
      <c r="S12" s="5"/>
      <c r="T12" s="26" t="s">
        <v>15</v>
      </c>
    </row>
    <row r="13" spans="2:23" s="28" customFormat="1" ht="15.75" customHeight="1" x14ac:dyDescent="0.35">
      <c r="I13" s="27"/>
      <c r="J13" s="27"/>
      <c r="K13" s="27"/>
      <c r="L13" s="27"/>
      <c r="M13" s="27"/>
      <c r="N13" s="27"/>
      <c r="O13" s="26"/>
      <c r="S13" s="143"/>
      <c r="T13" s="26"/>
    </row>
    <row r="14" spans="2:23" s="28" customFormat="1" ht="15.75" customHeight="1" x14ac:dyDescent="0.35">
      <c r="I14" s="27"/>
      <c r="J14" s="27"/>
      <c r="K14" s="27"/>
      <c r="L14" s="27"/>
      <c r="M14" s="27"/>
      <c r="N14" s="27"/>
      <c r="O14" s="26"/>
      <c r="S14" s="143" t="s">
        <v>21</v>
      </c>
      <c r="T14" s="26"/>
    </row>
    <row r="15" spans="2:23" s="28" customFormat="1" ht="15.75" customHeight="1" x14ac:dyDescent="0.35">
      <c r="I15" s="27"/>
      <c r="J15" s="27"/>
      <c r="K15" s="27"/>
      <c r="L15" s="27"/>
      <c r="M15" s="27"/>
      <c r="N15" s="27"/>
      <c r="O15" s="26"/>
      <c r="S15" s="6"/>
      <c r="T15" s="26" t="s">
        <v>16</v>
      </c>
    </row>
    <row r="16" spans="2:23" s="28" customFormat="1" ht="15.75" customHeight="1" x14ac:dyDescent="0.35">
      <c r="I16" s="27"/>
      <c r="J16" s="27"/>
      <c r="K16" s="27"/>
      <c r="L16" s="27"/>
      <c r="M16" s="27"/>
      <c r="N16" s="27"/>
      <c r="O16" s="26"/>
      <c r="S16" s="7"/>
      <c r="T16" s="26" t="s">
        <v>15</v>
      </c>
    </row>
    <row r="17" spans="1:38" s="28" customFormat="1" ht="15.75" customHeight="1" x14ac:dyDescent="0.35">
      <c r="I17" s="27"/>
      <c r="J17" s="27"/>
      <c r="K17" s="27"/>
      <c r="L17" s="27"/>
      <c r="M17" s="27"/>
      <c r="N17" s="27"/>
      <c r="O17" s="26"/>
      <c r="S17" s="26"/>
      <c r="T17" s="26"/>
    </row>
    <row r="18" spans="1:38" s="28" customFormat="1" ht="15.75" customHeight="1" x14ac:dyDescent="0.35">
      <c r="I18" s="27"/>
      <c r="J18" s="27"/>
      <c r="K18" s="27"/>
      <c r="L18" s="27"/>
      <c r="M18" s="27"/>
      <c r="N18" s="27"/>
      <c r="O18" s="26"/>
      <c r="S18" s="143" t="s">
        <v>28</v>
      </c>
      <c r="T18" s="26"/>
    </row>
    <row r="19" spans="1:38" s="28" customFormat="1" ht="15.75" customHeight="1" x14ac:dyDescent="0.35">
      <c r="I19" s="27"/>
      <c r="J19" s="27"/>
      <c r="K19" s="27"/>
      <c r="L19" s="27"/>
      <c r="M19" s="27"/>
      <c r="N19" s="27"/>
      <c r="O19" s="26"/>
      <c r="S19" s="21"/>
      <c r="T19" s="26" t="s">
        <v>16</v>
      </c>
    </row>
    <row r="20" spans="1:38" s="28" customFormat="1" ht="15.75" customHeight="1" x14ac:dyDescent="0.35">
      <c r="I20" s="27"/>
      <c r="J20" s="27"/>
      <c r="K20" s="27"/>
      <c r="L20" s="27"/>
      <c r="M20" s="27"/>
      <c r="N20" s="27"/>
      <c r="O20" s="26"/>
      <c r="S20" s="173"/>
      <c r="T20" s="26" t="s">
        <v>15</v>
      </c>
    </row>
    <row r="21" spans="1:38" s="28" customFormat="1" ht="15.75" customHeight="1" x14ac:dyDescent="0.35">
      <c r="I21" s="27"/>
      <c r="J21" s="27"/>
      <c r="K21" s="27"/>
      <c r="L21" s="27"/>
      <c r="M21" s="27"/>
      <c r="N21" s="27"/>
      <c r="O21" s="26"/>
      <c r="S21" s="26"/>
      <c r="T21" s="26"/>
    </row>
    <row r="22" spans="1:38" s="28" customFormat="1" ht="15.75" customHeight="1" x14ac:dyDescent="0.35">
      <c r="I22" s="27"/>
      <c r="J22" s="27"/>
      <c r="K22" s="27"/>
      <c r="L22" s="27"/>
      <c r="M22" s="27"/>
      <c r="N22" s="27"/>
      <c r="O22" s="26"/>
      <c r="S22" s="143" t="s">
        <v>113</v>
      </c>
      <c r="T22" s="26"/>
    </row>
    <row r="23" spans="1:38" s="28" customFormat="1" ht="15.75" customHeight="1" x14ac:dyDescent="0.35">
      <c r="I23" s="27"/>
      <c r="J23" s="27"/>
      <c r="K23" s="27"/>
      <c r="L23" s="27"/>
      <c r="M23" s="27"/>
      <c r="N23" s="27"/>
      <c r="O23" s="26"/>
      <c r="S23" s="22"/>
      <c r="T23" s="26" t="s">
        <v>16</v>
      </c>
    </row>
    <row r="24" spans="1:38" s="28" customFormat="1" ht="15.75" customHeight="1" x14ac:dyDescent="0.35">
      <c r="I24" s="27"/>
      <c r="J24" s="27"/>
      <c r="K24" s="27"/>
      <c r="L24" s="27"/>
      <c r="M24" s="27"/>
      <c r="N24" s="27"/>
      <c r="O24" s="26"/>
      <c r="S24" s="23"/>
      <c r="T24" s="26" t="s">
        <v>15</v>
      </c>
    </row>
    <row r="25" spans="1:38" s="28" customFormat="1" ht="15.75" customHeight="1" x14ac:dyDescent="0.35">
      <c r="I25" s="27"/>
      <c r="J25" s="27"/>
      <c r="K25" s="27"/>
      <c r="L25" s="27"/>
      <c r="M25" s="27"/>
      <c r="N25" s="27"/>
      <c r="O25" s="26"/>
      <c r="S25" s="26"/>
      <c r="T25" s="26"/>
    </row>
    <row r="26" spans="1:38" s="28" customFormat="1" ht="15.75" customHeight="1" thickBot="1" x14ac:dyDescent="0.4">
      <c r="I26" s="27"/>
      <c r="J26" s="27"/>
      <c r="K26" s="27"/>
      <c r="L26" s="27"/>
      <c r="M26" s="27"/>
      <c r="N26" s="27"/>
      <c r="O26" s="26"/>
      <c r="S26" s="26"/>
      <c r="T26" s="272" t="s">
        <v>112</v>
      </c>
    </row>
    <row r="27" spans="1:38" s="28" customFormat="1" ht="15.75" customHeight="1" thickTop="1" x14ac:dyDescent="0.35">
      <c r="I27" s="27"/>
      <c r="J27" s="27"/>
      <c r="K27" s="27"/>
      <c r="L27" s="27"/>
      <c r="M27" s="27"/>
      <c r="N27" s="27"/>
      <c r="O27" s="26"/>
      <c r="S27" s="169"/>
      <c r="T27" s="273"/>
    </row>
    <row r="28" spans="1:38" s="28" customFormat="1" ht="15.75" customHeight="1" x14ac:dyDescent="0.35">
      <c r="I28" s="27"/>
      <c r="J28" s="27"/>
      <c r="K28" s="27"/>
      <c r="L28" s="27"/>
      <c r="M28" s="27"/>
      <c r="N28" s="27"/>
      <c r="O28" s="26"/>
    </row>
    <row r="29" spans="1:38" s="28" customFormat="1" ht="15.75" customHeight="1" x14ac:dyDescent="0.35">
      <c r="I29" s="27"/>
      <c r="J29" s="27"/>
      <c r="K29" s="27"/>
      <c r="L29" s="27"/>
      <c r="M29" s="27"/>
      <c r="N29" s="27"/>
      <c r="O29" s="26"/>
    </row>
    <row r="30" spans="1:38" s="28" customFormat="1" ht="15.75" customHeight="1" x14ac:dyDescent="0.35">
      <c r="I30" s="27"/>
      <c r="J30" s="27"/>
      <c r="K30" s="27"/>
      <c r="L30" s="27"/>
      <c r="M30" s="27"/>
      <c r="N30" s="27"/>
      <c r="O30" s="26"/>
    </row>
    <row r="31" spans="1:38" s="28" customFormat="1" ht="23.25" customHeight="1" x14ac:dyDescent="0.35">
      <c r="C31" s="276" t="s">
        <v>3</v>
      </c>
      <c r="D31" s="275" t="s">
        <v>91</v>
      </c>
      <c r="E31" s="275"/>
      <c r="F31" s="275"/>
      <c r="G31" s="280" t="s">
        <v>21</v>
      </c>
      <c r="H31" s="280"/>
      <c r="I31" s="172" t="s">
        <v>28</v>
      </c>
      <c r="J31" s="282" t="s">
        <v>113</v>
      </c>
      <c r="K31" s="283"/>
      <c r="L31" s="284"/>
      <c r="M31" s="278" t="s">
        <v>114</v>
      </c>
      <c r="N31" s="278" t="s">
        <v>13</v>
      </c>
    </row>
    <row r="32" spans="1:38" ht="46.5" customHeight="1" x14ac:dyDescent="0.35">
      <c r="A32" s="256"/>
      <c r="B32" s="256"/>
      <c r="C32" s="277"/>
      <c r="D32" s="149" t="s">
        <v>41</v>
      </c>
      <c r="E32" s="149" t="s">
        <v>36</v>
      </c>
      <c r="F32" s="149" t="s">
        <v>45</v>
      </c>
      <c r="G32" s="150" t="str">
        <f>Master_Data[[#Headers],[Inst. EOC Ques.]]</f>
        <v>Inst. EOC Ques.</v>
      </c>
      <c r="H32" s="150" t="str">
        <f>Master_Data[[#Headers],[Prac. Book]]</f>
        <v>Prac. Book</v>
      </c>
      <c r="I32" s="151" t="str">
        <f>Master_Data[[#Headers],[Revision]]</f>
        <v>Revision</v>
      </c>
      <c r="J32" s="152" t="str">
        <f>Master_Data[[#Headers],[Inst. Online Portal]]</f>
        <v>Inst. Online Portal</v>
      </c>
      <c r="K32" s="152" t="str">
        <f>Master_Data[[#Headers],[Schweser Prac. Bk 1]]</f>
        <v>Schweser Prac. Bk 1</v>
      </c>
      <c r="L32" s="152" t="str">
        <f>Master_Data[[#Headers],[Schweser Prac. Bk 2]]</f>
        <v>Schweser Prac. Bk 2</v>
      </c>
      <c r="M32" s="279"/>
      <c r="N32" s="279"/>
      <c r="O32" s="30" t="s">
        <v>22</v>
      </c>
      <c r="P32" s="30" t="s">
        <v>23</v>
      </c>
      <c r="Q32" s="30" t="s">
        <v>126</v>
      </c>
      <c r="R32" s="30" t="s">
        <v>24</v>
      </c>
      <c r="S32" s="30" t="s">
        <v>118</v>
      </c>
      <c r="T32" s="30" t="s">
        <v>119</v>
      </c>
      <c r="U32" s="30" t="s">
        <v>120</v>
      </c>
      <c r="V32" s="30"/>
      <c r="W32" s="30"/>
      <c r="X32" s="30"/>
      <c r="Y32" s="30" t="s">
        <v>17</v>
      </c>
      <c r="Z32" s="30" t="s">
        <v>18</v>
      </c>
      <c r="AA32" s="30" t="s">
        <v>19</v>
      </c>
      <c r="AB32" s="30" t="s">
        <v>20</v>
      </c>
      <c r="AC32" s="30" t="s">
        <v>121</v>
      </c>
      <c r="AD32" s="30" t="s">
        <v>122</v>
      </c>
      <c r="AE32" s="30" t="s">
        <v>119</v>
      </c>
      <c r="AF32" s="30" t="s">
        <v>123</v>
      </c>
      <c r="AG32" s="30" t="s">
        <v>124</v>
      </c>
      <c r="AH32" s="30" t="s">
        <v>125</v>
      </c>
      <c r="AI32" s="30"/>
      <c r="AJ32" s="30"/>
      <c r="AK32" s="30"/>
      <c r="AL32" s="30"/>
    </row>
    <row r="33" spans="1:39" x14ac:dyDescent="0.35">
      <c r="B33" s="131">
        <v>2.5</v>
      </c>
      <c r="C33" s="153" t="s">
        <v>10</v>
      </c>
      <c r="D33" s="154">
        <f>SUMIFS(Master_Data[Duration (hh:mm)],Master_Data[Subject],'📊 Progress'!C33,Master_Data[Lectures],"d")</f>
        <v>0</v>
      </c>
      <c r="E33" s="155">
        <f>SUMIF(Master_Data[Subject],'📊 Progress'!C33,Master_Data[Duration (hh:mm)])</f>
        <v>0.84375</v>
      </c>
      <c r="F33" s="156">
        <f>SUMIFS(Master_Data[No. of Chapters],Master_Data[Subject],C33,Master_Data[Self Study],"D",Master_Data[Lectures],"D")</f>
        <v>0</v>
      </c>
      <c r="G33" s="156">
        <f>SUMIFS(Master_Data[No. of Chapters],Master_Data[Subject],'📊 Progress'!$C33,Master_Data[Inst. EOC Ques.],"D")</f>
        <v>0</v>
      </c>
      <c r="H33" s="156">
        <f>SUMIFS(Master_Data[No. of Chapters],Master_Data[Subject],'📊 Progress'!$C33,Master_Data[Prac. Book],"D")</f>
        <v>0</v>
      </c>
      <c r="I33" s="156">
        <f>SUMIFS(Master_Data[No. of Chapters],Master_Data[Subject],'📊 Progress'!$C33,Master_Data[Revision],"D")</f>
        <v>0</v>
      </c>
      <c r="J33" s="156">
        <f>SUMIFS(Master_Data[No. of Chapters],Master_Data[Subject],'📊 Progress'!$C33,Master_Data[Inst. Online Portal],"D")</f>
        <v>0</v>
      </c>
      <c r="K33" s="156">
        <f>SUMIFS(Master_Data[No. of Chapters],Master_Data[Subject],'📊 Progress'!$C33,Master_Data[Schweser Prac. Bk 1],"D")</f>
        <v>0</v>
      </c>
      <c r="L33" s="156">
        <f>SUMIFS(Master_Data[No. of Chapters],Master_Data[Subject],'📊 Progress'!$C33,Master_Data[Schweser Prac. Bk 2],"D")</f>
        <v>0</v>
      </c>
      <c r="M33" s="157">
        <f>SUMIF(Master_Data[Subject],'📊 Progress'!C33,Master_Data[Subjectwise weighted average])</f>
        <v>2.333333333333333</v>
      </c>
      <c r="N33" s="158">
        <f>SUMIFS(Master_Data[No. of Chapters],Master_Data[Subject],'📊 Progress'!C33)</f>
        <v>3</v>
      </c>
      <c r="O33" s="31">
        <f t="shared" ref="O33:O39" si="0">ROUND(AVERAGE(G33:H33),0)</f>
        <v>0</v>
      </c>
      <c r="P33" s="31">
        <f t="shared" ref="P33:P39" si="1">N33-O33</f>
        <v>3</v>
      </c>
      <c r="Q33" s="31">
        <f t="shared" ref="Q33:Q39" si="2">F33</f>
        <v>0</v>
      </c>
      <c r="R33" s="31">
        <f t="shared" ref="R33:R39" si="3">N33-F33</f>
        <v>3</v>
      </c>
      <c r="S33" s="31">
        <f t="shared" ref="S33:S39" si="4">N33-I33</f>
        <v>3</v>
      </c>
      <c r="T33" s="31">
        <f t="shared" ref="T33:T39" si="5">ROUND(AVERAGE(J33:L33),0)</f>
        <v>0</v>
      </c>
      <c r="U33" s="31">
        <f t="shared" ref="U33:U39" si="6">N33-T33</f>
        <v>3</v>
      </c>
      <c r="V33" s="30"/>
      <c r="W33" s="30"/>
      <c r="X33" s="30" t="str">
        <f t="shared" ref="X33:X39" si="7">C33</f>
        <v>Economics</v>
      </c>
      <c r="Y33" s="73">
        <f t="shared" ref="Y33:Y39" si="8">(F33/N33)</f>
        <v>0</v>
      </c>
      <c r="Z33" s="73">
        <v>1</v>
      </c>
      <c r="AA33" s="73" t="str">
        <f t="shared" ref="AA33:AA39" si="9">IF((O33/N33)=0,"",O33/N33)</f>
        <v/>
      </c>
      <c r="AB33" s="73">
        <v>1</v>
      </c>
      <c r="AC33" s="73">
        <f t="shared" ref="AC33:AC39" si="10">I33/N33</f>
        <v>0</v>
      </c>
      <c r="AD33" s="73">
        <v>1</v>
      </c>
      <c r="AE33" s="73" t="str">
        <f t="shared" ref="AE33:AE39" si="11">IF((T33/N33)=0,"",T33/N33)</f>
        <v/>
      </c>
      <c r="AF33" s="73">
        <v>1</v>
      </c>
      <c r="AG33" s="73">
        <f t="shared" ref="AG33:AG39" si="12">M33/5</f>
        <v>0.46666666666666662</v>
      </c>
      <c r="AH33" s="73">
        <v>1</v>
      </c>
      <c r="AI33" s="30"/>
      <c r="AJ33" s="30"/>
      <c r="AK33" s="30"/>
      <c r="AL33" s="30"/>
    </row>
    <row r="34" spans="1:39" x14ac:dyDescent="0.35">
      <c r="B34" s="131">
        <v>2.5</v>
      </c>
      <c r="C34" s="153" t="s">
        <v>170</v>
      </c>
      <c r="D34" s="154">
        <f>SUMIFS(Master_Data[Duration (hh:mm)],Master_Data[Subject],'📊 Progress'!C34,Master_Data[Lectures],"d")</f>
        <v>0</v>
      </c>
      <c r="E34" s="155">
        <f>SUMIF(Master_Data[Subject],'📊 Progress'!C34,Master_Data[Duration (hh:mm)])</f>
        <v>0.89236111111111116</v>
      </c>
      <c r="F34" s="156">
        <f>SUMIFS(Master_Data[No. of Chapters],Master_Data[Subject],C34,Master_Data[Self Study],"D",Master_Data[Lectures],"D")</f>
        <v>0</v>
      </c>
      <c r="G34" s="156">
        <f>SUMIFS(Master_Data[No. of Chapters],Master_Data[Subject],'📊 Progress'!$C34,Master_Data[Inst. EOC Ques.],"D")</f>
        <v>0</v>
      </c>
      <c r="H34" s="156">
        <f>SUMIFS(Master_Data[No. of Chapters],Master_Data[Subject],'📊 Progress'!$C34,Master_Data[Prac. Book],"D")</f>
        <v>0</v>
      </c>
      <c r="I34" s="156">
        <f>SUMIFS(Master_Data[No. of Chapters],Master_Data[Subject],'📊 Progress'!$C34,Master_Data[Revision],"D")</f>
        <v>0</v>
      </c>
      <c r="J34" s="156">
        <f>SUMIFS(Master_Data[No. of Chapters],Master_Data[Subject],'📊 Progress'!$C34,Master_Data[Inst. Online Portal],"D")</f>
        <v>0</v>
      </c>
      <c r="K34" s="156">
        <f>SUMIFS(Master_Data[No. of Chapters],Master_Data[Subject],'📊 Progress'!$C34,Master_Data[Schweser Prac. Bk 1],"D")</f>
        <v>0</v>
      </c>
      <c r="L34" s="156">
        <f>SUMIFS(Master_Data[No. of Chapters],Master_Data[Subject],'📊 Progress'!$C34,Master_Data[Schweser Prac. Bk 2],"D")</f>
        <v>0</v>
      </c>
      <c r="M34" s="157">
        <f>SUMIF(Master_Data[Subject],'📊 Progress'!C34,Master_Data[Subjectwise weighted average])</f>
        <v>2</v>
      </c>
      <c r="N34" s="158">
        <f>COUNTIF(Master_Data[Subject],'📊 Progress'!C34)</f>
        <v>2</v>
      </c>
      <c r="O34" s="31">
        <f t="shared" si="0"/>
        <v>0</v>
      </c>
      <c r="P34" s="31">
        <f t="shared" si="1"/>
        <v>2</v>
      </c>
      <c r="Q34" s="31">
        <f t="shared" si="2"/>
        <v>0</v>
      </c>
      <c r="R34" s="31">
        <f t="shared" si="3"/>
        <v>2</v>
      </c>
      <c r="S34" s="31">
        <f t="shared" si="4"/>
        <v>2</v>
      </c>
      <c r="T34" s="31">
        <f t="shared" si="5"/>
        <v>0</v>
      </c>
      <c r="U34" s="31">
        <f t="shared" si="6"/>
        <v>2</v>
      </c>
      <c r="V34" s="30"/>
      <c r="W34" s="30"/>
      <c r="X34" s="30" t="str">
        <f t="shared" si="7"/>
        <v xml:space="preserve">Derivatives </v>
      </c>
      <c r="Y34" s="73">
        <f t="shared" si="8"/>
        <v>0</v>
      </c>
      <c r="Z34" s="73">
        <v>1</v>
      </c>
      <c r="AA34" s="73" t="str">
        <f t="shared" si="9"/>
        <v/>
      </c>
      <c r="AB34" s="73">
        <v>1</v>
      </c>
      <c r="AC34" s="73">
        <f t="shared" si="10"/>
        <v>0</v>
      </c>
      <c r="AD34" s="73">
        <v>1</v>
      </c>
      <c r="AE34" s="73" t="str">
        <f t="shared" si="11"/>
        <v/>
      </c>
      <c r="AF34" s="73">
        <v>1</v>
      </c>
      <c r="AG34" s="73">
        <f t="shared" si="12"/>
        <v>0.4</v>
      </c>
      <c r="AH34" s="73">
        <v>1</v>
      </c>
      <c r="AI34" s="30"/>
      <c r="AJ34" s="30"/>
      <c r="AK34" s="30"/>
      <c r="AL34" s="30"/>
    </row>
    <row r="35" spans="1:39" x14ac:dyDescent="0.35">
      <c r="B35" s="131">
        <v>2.5</v>
      </c>
      <c r="C35" s="153" t="s">
        <v>12</v>
      </c>
      <c r="D35" s="154">
        <f>SUMIFS(Master_Data[Duration (hh:mm)],Master_Data[Subject],'📊 Progress'!C35,Master_Data[Lectures],"d")</f>
        <v>0</v>
      </c>
      <c r="E35" s="155">
        <f>SUMIF(Master_Data[Subject],'📊 Progress'!C35,Master_Data[Duration (hh:mm)])</f>
        <v>1.1138888888888889</v>
      </c>
      <c r="F35" s="156">
        <f>SUMIFS(Master_Data[No. of Chapters],Master_Data[Subject],C35,Master_Data[Self Study],"D",Master_Data[Lectures],"D")</f>
        <v>0</v>
      </c>
      <c r="G35" s="156">
        <f>SUMIFS(Master_Data[No. of Chapters],Master_Data[Subject],'📊 Progress'!$C35,Master_Data[Inst. EOC Ques.],"D")</f>
        <v>0</v>
      </c>
      <c r="H35" s="156">
        <f>SUMIFS(Master_Data[No. of Chapters],Master_Data[Subject],'📊 Progress'!$C35,Master_Data[Prac. Book],"D")</f>
        <v>0</v>
      </c>
      <c r="I35" s="156">
        <f>SUMIFS(Master_Data[No. of Chapters],Master_Data[Subject],'📊 Progress'!$C35,Master_Data[Revision],"D")</f>
        <v>0</v>
      </c>
      <c r="J35" s="156">
        <f>SUMIFS(Master_Data[No. of Chapters],Master_Data[Subject],'📊 Progress'!$C35,Master_Data[Inst. Online Portal],"D")</f>
        <v>0</v>
      </c>
      <c r="K35" s="156">
        <f>SUMIFS(Master_Data[No. of Chapters],Master_Data[Subject],'📊 Progress'!$C35,Master_Data[Schweser Prac. Bk 1],"D")</f>
        <v>0</v>
      </c>
      <c r="L35" s="156">
        <f>SUMIFS(Master_Data[No. of Chapters],Master_Data[Subject],'📊 Progress'!$C35,Master_Data[Schweser Prac. Bk 2],"D")</f>
        <v>0</v>
      </c>
      <c r="M35" s="157">
        <f>SUMIF(Master_Data[Subject],'📊 Progress'!C35,Master_Data[Subjectwise weighted average])</f>
        <v>2.5</v>
      </c>
      <c r="N35" s="158">
        <f>COUNTIF(Master_Data[Subject],'📊 Progress'!C35)</f>
        <v>4</v>
      </c>
      <c r="O35" s="31">
        <f t="shared" si="0"/>
        <v>0</v>
      </c>
      <c r="P35" s="31">
        <f t="shared" si="1"/>
        <v>4</v>
      </c>
      <c r="Q35" s="31">
        <f t="shared" si="2"/>
        <v>0</v>
      </c>
      <c r="R35" s="31">
        <f t="shared" si="3"/>
        <v>4</v>
      </c>
      <c r="S35" s="31">
        <f t="shared" si="4"/>
        <v>4</v>
      </c>
      <c r="T35" s="31">
        <f t="shared" si="5"/>
        <v>0</v>
      </c>
      <c r="U35" s="31">
        <f t="shared" si="6"/>
        <v>4</v>
      </c>
      <c r="V35" s="30"/>
      <c r="W35" s="30"/>
      <c r="X35" s="30" t="str">
        <f t="shared" si="7"/>
        <v>Fixed Income</v>
      </c>
      <c r="Y35" s="73">
        <f t="shared" si="8"/>
        <v>0</v>
      </c>
      <c r="Z35" s="73">
        <v>1</v>
      </c>
      <c r="AA35" s="73" t="str">
        <f t="shared" si="9"/>
        <v/>
      </c>
      <c r="AB35" s="73">
        <v>1</v>
      </c>
      <c r="AC35" s="73">
        <f t="shared" si="10"/>
        <v>0</v>
      </c>
      <c r="AD35" s="73">
        <v>1</v>
      </c>
      <c r="AE35" s="73" t="str">
        <f t="shared" si="11"/>
        <v/>
      </c>
      <c r="AF35" s="73">
        <v>1</v>
      </c>
      <c r="AG35" s="73">
        <f t="shared" si="12"/>
        <v>0.5</v>
      </c>
      <c r="AH35" s="73">
        <v>1</v>
      </c>
      <c r="AI35" s="30"/>
      <c r="AJ35" s="30"/>
      <c r="AK35" s="30"/>
      <c r="AL35" s="30"/>
    </row>
    <row r="36" spans="1:39" x14ac:dyDescent="0.35">
      <c r="B36" s="131">
        <v>2.5</v>
      </c>
      <c r="C36" s="153" t="s">
        <v>11</v>
      </c>
      <c r="D36" s="154">
        <f>SUMIFS(Master_Data[Duration (hh:mm)],Master_Data[Subject],'📊 Progress'!C36,Master_Data[Lectures],"d")</f>
        <v>0</v>
      </c>
      <c r="E36" s="155">
        <f>SUMIF(Master_Data[Subject],'📊 Progress'!C36,Master_Data[Duration (hh:mm)])</f>
        <v>0.6791666666666667</v>
      </c>
      <c r="F36" s="156">
        <f>SUMIFS(Master_Data[No. of Chapters],Master_Data[Subject],C36,Master_Data[Self Study],"D",Master_Data[Lectures],"D")</f>
        <v>0</v>
      </c>
      <c r="G36" s="156">
        <f>SUMIFS(Master_Data[No. of Chapters],Master_Data[Subject],'📊 Progress'!$C36,Master_Data[Inst. EOC Ques.],"D")</f>
        <v>0</v>
      </c>
      <c r="H36" s="156">
        <f>SUMIFS(Master_Data[No. of Chapters],Master_Data[Subject],'📊 Progress'!$C36,Master_Data[Prac. Book],"D")</f>
        <v>0</v>
      </c>
      <c r="I36" s="156">
        <f>SUMIFS(Master_Data[No. of Chapters],Master_Data[Subject],'📊 Progress'!$C36,Master_Data[Revision],"D")</f>
        <v>0</v>
      </c>
      <c r="J36" s="156">
        <f>SUMIFS(Master_Data[No. of Chapters],Master_Data[Subject],'📊 Progress'!$C36,Master_Data[Inst. Online Portal],"D")</f>
        <v>0</v>
      </c>
      <c r="K36" s="156">
        <f>SUMIFS(Master_Data[No. of Chapters],Master_Data[Subject],'📊 Progress'!$C36,Master_Data[Schweser Prac. Bk 1],"D")</f>
        <v>0</v>
      </c>
      <c r="L36" s="156">
        <f>SUMIFS(Master_Data[No. of Chapters],Master_Data[Subject],'📊 Progress'!$C36,Master_Data[Schweser Prac. Bk 2],"D")</f>
        <v>0</v>
      </c>
      <c r="M36" s="157">
        <f>SUMIF(Master_Data[Subject],'📊 Progress'!C36,Master_Data[Subjectwise weighted average])</f>
        <v>2.5</v>
      </c>
      <c r="N36" s="158">
        <f>COUNTIF(Master_Data[Subject],'📊 Progress'!C36)</f>
        <v>4</v>
      </c>
      <c r="O36" s="31">
        <f t="shared" si="0"/>
        <v>0</v>
      </c>
      <c r="P36" s="31">
        <f t="shared" si="1"/>
        <v>4</v>
      </c>
      <c r="Q36" s="31">
        <f t="shared" si="2"/>
        <v>0</v>
      </c>
      <c r="R36" s="31">
        <f t="shared" si="3"/>
        <v>4</v>
      </c>
      <c r="S36" s="31">
        <f t="shared" si="4"/>
        <v>4</v>
      </c>
      <c r="T36" s="31">
        <f t="shared" si="5"/>
        <v>0</v>
      </c>
      <c r="U36" s="31">
        <f t="shared" si="6"/>
        <v>4</v>
      </c>
      <c r="V36" s="30"/>
      <c r="W36" s="30"/>
      <c r="X36" s="30" t="str">
        <f t="shared" si="7"/>
        <v>Equity</v>
      </c>
      <c r="Y36" s="73">
        <f t="shared" si="8"/>
        <v>0</v>
      </c>
      <c r="Z36" s="73">
        <v>1</v>
      </c>
      <c r="AA36" s="73" t="str">
        <f t="shared" si="9"/>
        <v/>
      </c>
      <c r="AB36" s="73">
        <v>1</v>
      </c>
      <c r="AC36" s="73">
        <f t="shared" si="10"/>
        <v>0</v>
      </c>
      <c r="AD36" s="73">
        <v>1</v>
      </c>
      <c r="AE36" s="73" t="str">
        <f t="shared" si="11"/>
        <v/>
      </c>
      <c r="AF36" s="73">
        <v>1</v>
      </c>
      <c r="AG36" s="73">
        <f t="shared" si="12"/>
        <v>0.5</v>
      </c>
      <c r="AH36" s="73">
        <v>1</v>
      </c>
      <c r="AI36" s="30"/>
      <c r="AJ36" s="30"/>
      <c r="AK36" s="30"/>
      <c r="AL36" s="30"/>
    </row>
    <row r="37" spans="1:39" x14ac:dyDescent="0.35">
      <c r="B37" s="131">
        <v>2.5</v>
      </c>
      <c r="C37" s="153" t="s">
        <v>183</v>
      </c>
      <c r="D37" s="154">
        <f>SUMIFS(Master_Data[Duration (hh:mm)],Master_Data[Subject],'📊 Progress'!C37,Master_Data[Lectures],"d")</f>
        <v>0</v>
      </c>
      <c r="E37" s="155">
        <f>SUMIF(Master_Data[Subject],'📊 Progress'!C37,Master_Data[Duration (hh:mm)])</f>
        <v>0.44791666666666663</v>
      </c>
      <c r="F37" s="156">
        <f>SUMIFS(Master_Data[No. of Chapters],Master_Data[Subject],C37,Master_Data[Self Study],"D",Master_Data[Lectures],"D")</f>
        <v>0</v>
      </c>
      <c r="G37" s="156">
        <f>SUMIFS(Master_Data[No. of Chapters],Master_Data[Subject],'📊 Progress'!$C37,Master_Data[Inst. EOC Ques.],"D")</f>
        <v>0</v>
      </c>
      <c r="H37" s="156">
        <f>SUMIFS(Master_Data[No. of Chapters],Master_Data[Subject],'📊 Progress'!$C37,Master_Data[Prac. Book],"D")</f>
        <v>0</v>
      </c>
      <c r="I37" s="156">
        <f>SUMIFS(Master_Data[No. of Chapters],Master_Data[Subject],'📊 Progress'!$C37,Master_Data[Revision],"D")</f>
        <v>0</v>
      </c>
      <c r="J37" s="156">
        <f>SUMIFS(Master_Data[No. of Chapters],Master_Data[Subject],'📊 Progress'!$C37,Master_Data[Inst. Online Portal],"D")</f>
        <v>0</v>
      </c>
      <c r="K37" s="156">
        <f>SUMIFS(Master_Data[No. of Chapters],Master_Data[Subject],'📊 Progress'!$C37,Master_Data[Schweser Prac. Bk 1],"D")</f>
        <v>0</v>
      </c>
      <c r="L37" s="156">
        <f>SUMIFS(Master_Data[No. of Chapters],Master_Data[Subject],'📊 Progress'!$C37,Master_Data[Schweser Prac. Bk 2],"D")</f>
        <v>0</v>
      </c>
      <c r="M37" s="157">
        <f>SUMIF(Master_Data[Subject],'📊 Progress'!C37,Master_Data[Subjectwise weighted average])</f>
        <v>2</v>
      </c>
      <c r="N37" s="158">
        <f>COUNTIF(Master_Data[Subject],'📊 Progress'!C37)</f>
        <v>2</v>
      </c>
      <c r="O37" s="31">
        <f t="shared" si="0"/>
        <v>0</v>
      </c>
      <c r="P37" s="31">
        <f t="shared" si="1"/>
        <v>2</v>
      </c>
      <c r="Q37" s="31">
        <f t="shared" si="2"/>
        <v>0</v>
      </c>
      <c r="R37" s="31">
        <f t="shared" si="3"/>
        <v>2</v>
      </c>
      <c r="S37" s="31">
        <f t="shared" si="4"/>
        <v>2</v>
      </c>
      <c r="T37" s="31">
        <f t="shared" si="5"/>
        <v>0</v>
      </c>
      <c r="U37" s="31">
        <f t="shared" si="6"/>
        <v>2</v>
      </c>
      <c r="V37" s="30"/>
      <c r="W37" s="30"/>
      <c r="X37" s="30" t="str">
        <f t="shared" si="7"/>
        <v>Alt. Invest.</v>
      </c>
      <c r="Y37" s="73">
        <f t="shared" si="8"/>
        <v>0</v>
      </c>
      <c r="Z37" s="73">
        <v>1</v>
      </c>
      <c r="AA37" s="73" t="str">
        <f t="shared" si="9"/>
        <v/>
      </c>
      <c r="AB37" s="73">
        <v>1</v>
      </c>
      <c r="AC37" s="73">
        <f t="shared" si="10"/>
        <v>0</v>
      </c>
      <c r="AD37" s="73">
        <v>1</v>
      </c>
      <c r="AE37" s="73" t="str">
        <f t="shared" si="11"/>
        <v/>
      </c>
      <c r="AF37" s="73">
        <v>1</v>
      </c>
      <c r="AG37" s="73">
        <f t="shared" si="12"/>
        <v>0.4</v>
      </c>
      <c r="AH37" s="73">
        <v>1</v>
      </c>
      <c r="AI37" s="30"/>
      <c r="AJ37" s="30"/>
      <c r="AK37" s="30"/>
      <c r="AL37" s="30"/>
    </row>
    <row r="38" spans="1:39" x14ac:dyDescent="0.35">
      <c r="B38" s="131">
        <v>2.5</v>
      </c>
      <c r="C38" s="153" t="s">
        <v>197</v>
      </c>
      <c r="D38" s="154">
        <f>SUMIFS(Master_Data[Duration (hh:mm)],Master_Data[Subject],'📊 Progress'!C38,Master_Data[Lectures],"d")</f>
        <v>0</v>
      </c>
      <c r="E38" s="155">
        <f>SUMIF(Master_Data[Subject],'📊 Progress'!C38,Master_Data[Duration (hh:mm)])</f>
        <v>1.7152777777777777</v>
      </c>
      <c r="F38" s="156">
        <f>SUMIFS(Master_Data[No. of Chapters],Master_Data[Subject],C38,Master_Data[Self Study],"D",Master_Data[Lectures],"D")</f>
        <v>0</v>
      </c>
      <c r="G38" s="156">
        <f>SUMIFS(Master_Data[No. of Chapters],Master_Data[Subject],'📊 Progress'!$C38,Master_Data[Inst. EOC Ques.],"D")</f>
        <v>0</v>
      </c>
      <c r="H38" s="156">
        <f>SUMIFS(Master_Data[No. of Chapters],Master_Data[Subject],'📊 Progress'!$C38,Master_Data[Prac. Book],"D")</f>
        <v>0</v>
      </c>
      <c r="I38" s="156">
        <f>SUMIFS(Master_Data[No. of Chapters],Master_Data[Subject],'📊 Progress'!$C38,Master_Data[Revision],"D")</f>
        <v>0</v>
      </c>
      <c r="J38" s="156">
        <f>SUMIFS(Master_Data[No. of Chapters],Master_Data[Subject],'📊 Progress'!$C38,Master_Data[Inst. Online Portal],"D")</f>
        <v>0</v>
      </c>
      <c r="K38" s="156">
        <f>SUMIFS(Master_Data[No. of Chapters],Master_Data[Subject],'📊 Progress'!$C38,Master_Data[Schweser Prac. Bk 1],"D")</f>
        <v>0</v>
      </c>
      <c r="L38" s="156">
        <f>SUMIFS(Master_Data[No. of Chapters],Master_Data[Subject],'📊 Progress'!$C38,Master_Data[Schweser Prac. Bk 2],"D")</f>
        <v>0</v>
      </c>
      <c r="M38" s="157">
        <f>SUMIF(Master_Data[Subject],'📊 Progress'!C38,Master_Data[Subjectwise weighted average])</f>
        <v>2.3666666666666663</v>
      </c>
      <c r="N38" s="158">
        <f>COUNTIF(Master_Data[Subject],'📊 Progress'!C38)</f>
        <v>7</v>
      </c>
      <c r="O38" s="31">
        <f t="shared" si="0"/>
        <v>0</v>
      </c>
      <c r="P38" s="31">
        <f t="shared" si="1"/>
        <v>7</v>
      </c>
      <c r="Q38" s="31">
        <f t="shared" si="2"/>
        <v>0</v>
      </c>
      <c r="R38" s="31">
        <f t="shared" si="3"/>
        <v>7</v>
      </c>
      <c r="S38" s="31">
        <f t="shared" si="4"/>
        <v>7</v>
      </c>
      <c r="T38" s="31">
        <f t="shared" si="5"/>
        <v>0</v>
      </c>
      <c r="U38" s="31">
        <f t="shared" si="6"/>
        <v>7</v>
      </c>
      <c r="V38" s="30"/>
      <c r="W38" s="30"/>
      <c r="X38" s="30" t="str">
        <f t="shared" si="7"/>
        <v>Portfolio-1</v>
      </c>
      <c r="Y38" s="73">
        <f t="shared" si="8"/>
        <v>0</v>
      </c>
      <c r="Z38" s="73">
        <v>1</v>
      </c>
      <c r="AA38" s="73" t="str">
        <f t="shared" si="9"/>
        <v/>
      </c>
      <c r="AB38" s="73">
        <v>1</v>
      </c>
      <c r="AC38" s="73">
        <f t="shared" si="10"/>
        <v>0</v>
      </c>
      <c r="AD38" s="73">
        <v>1</v>
      </c>
      <c r="AE38" s="73" t="str">
        <f t="shared" si="11"/>
        <v/>
      </c>
      <c r="AF38" s="73">
        <v>1</v>
      </c>
      <c r="AG38" s="73">
        <f t="shared" si="12"/>
        <v>0.47333333333333327</v>
      </c>
      <c r="AH38" s="73">
        <v>1</v>
      </c>
      <c r="AI38" s="30"/>
      <c r="AJ38" s="30"/>
      <c r="AK38" s="30"/>
      <c r="AL38" s="30"/>
    </row>
    <row r="39" spans="1:39" x14ac:dyDescent="0.35">
      <c r="B39" s="131">
        <v>2.5</v>
      </c>
      <c r="C39" s="153" t="s">
        <v>197</v>
      </c>
      <c r="D39" s="154">
        <f>SUMIFS(Master_Data[Duration (hh:mm)],Master_Data[Subject],'📊 Progress'!C39,Master_Data[Lectures],"d")</f>
        <v>0</v>
      </c>
      <c r="E39" s="155">
        <f>SUMIF(Master_Data[Subject],'📊 Progress'!C39,Master_Data[Duration (hh:mm)])</f>
        <v>1.7152777777777777</v>
      </c>
      <c r="F39" s="156">
        <f>SUMIFS(Master_Data[No. of Chapters],Master_Data[Subject],C39,Master_Data[Self Study],"D",Master_Data[Lectures],"D")</f>
        <v>0</v>
      </c>
      <c r="G39" s="156">
        <f>SUMIFS(Master_Data[No. of Chapters],Master_Data[Subject],'📊 Progress'!$C39,Master_Data[Inst. EOC Ques.],"D")</f>
        <v>0</v>
      </c>
      <c r="H39" s="156">
        <f>SUMIFS(Master_Data[No. of Chapters],Master_Data[Subject],'📊 Progress'!$C39,Master_Data[Prac. Book],"D")</f>
        <v>0</v>
      </c>
      <c r="I39" s="156">
        <f>SUMIFS(Master_Data[No. of Chapters],Master_Data[Subject],'📊 Progress'!$C39,Master_Data[Revision],"D")</f>
        <v>0</v>
      </c>
      <c r="J39" s="156">
        <f>SUMIFS(Master_Data[No. of Chapters],Master_Data[Subject],'📊 Progress'!$C39,Master_Data[Inst. Online Portal],"D")</f>
        <v>0</v>
      </c>
      <c r="K39" s="156">
        <f>SUMIFS(Master_Data[No. of Chapters],Master_Data[Subject],'📊 Progress'!$C39,Master_Data[Schweser Prac. Bk 1],"D")</f>
        <v>0</v>
      </c>
      <c r="L39" s="156">
        <f>SUMIFS(Master_Data[No. of Chapters],Master_Data[Subject],'📊 Progress'!$C39,Master_Data[Schweser Prac. Bk 2],"D")</f>
        <v>0</v>
      </c>
      <c r="M39" s="157">
        <f>SUMIF(Master_Data[Subject],'📊 Progress'!C39,Master_Data[Subjectwise weighted average])</f>
        <v>2.3666666666666663</v>
      </c>
      <c r="N39" s="158">
        <f>COUNTIF(Master_Data[Subject],'📊 Progress'!C39)</f>
        <v>7</v>
      </c>
      <c r="O39" s="31">
        <f t="shared" si="0"/>
        <v>0</v>
      </c>
      <c r="P39" s="31">
        <f t="shared" si="1"/>
        <v>7</v>
      </c>
      <c r="Q39" s="31">
        <f t="shared" si="2"/>
        <v>0</v>
      </c>
      <c r="R39" s="31">
        <f t="shared" si="3"/>
        <v>7</v>
      </c>
      <c r="S39" s="31">
        <f t="shared" si="4"/>
        <v>7</v>
      </c>
      <c r="T39" s="31">
        <f t="shared" si="5"/>
        <v>0</v>
      </c>
      <c r="U39" s="31">
        <f t="shared" si="6"/>
        <v>7</v>
      </c>
      <c r="V39" s="30"/>
      <c r="W39" s="30"/>
      <c r="X39" s="30" t="str">
        <f t="shared" si="7"/>
        <v>Portfolio-1</v>
      </c>
      <c r="Y39" s="73">
        <f t="shared" si="8"/>
        <v>0</v>
      </c>
      <c r="Z39" s="73">
        <v>1</v>
      </c>
      <c r="AA39" s="73" t="str">
        <f t="shared" si="9"/>
        <v/>
      </c>
      <c r="AB39" s="73">
        <v>1</v>
      </c>
      <c r="AC39" s="73">
        <f t="shared" si="10"/>
        <v>0</v>
      </c>
      <c r="AD39" s="73">
        <v>1</v>
      </c>
      <c r="AE39" s="73" t="str">
        <f t="shared" si="11"/>
        <v/>
      </c>
      <c r="AF39" s="73">
        <v>1</v>
      </c>
      <c r="AG39" s="73">
        <f t="shared" si="12"/>
        <v>0.47333333333333327</v>
      </c>
      <c r="AH39" s="73">
        <v>1</v>
      </c>
      <c r="AI39" s="30"/>
      <c r="AJ39" s="30"/>
      <c r="AK39" s="30"/>
      <c r="AL39" s="30"/>
    </row>
    <row r="40" spans="1:39" s="29" customFormat="1" ht="18" x14ac:dyDescent="0.4">
      <c r="A40" s="26"/>
      <c r="B40" s="131">
        <v>2.5</v>
      </c>
      <c r="C40" s="153" t="s">
        <v>9</v>
      </c>
      <c r="D40" s="154">
        <f>SUMIFS(Master_Data[Duration (hh:mm)],Master_Data[Subject],'📊 Progress'!C40,Master_Data[Lectures],"d")</f>
        <v>0</v>
      </c>
      <c r="E40" s="155">
        <f>SUMIF(Master_Data[Subject],'📊 Progress'!C40,Master_Data[Duration (hh:mm)])</f>
        <v>0.48819444444444449</v>
      </c>
      <c r="F40" s="156">
        <f>SUMIFS(Master_Data[No. of Chapters],Master_Data[Subject],C40,Master_Data[Self Study],"D",Master_Data[Lectures],"D")</f>
        <v>0</v>
      </c>
      <c r="G40" s="156">
        <f>SUMIFS(Master_Data[No. of Chapters],Master_Data[Subject],'📊 Progress'!$C40,Master_Data[Inst. EOC Ques.],"D")</f>
        <v>0</v>
      </c>
      <c r="H40" s="156">
        <f>SUMIFS(Master_Data[No. of Chapters],Master_Data[Subject],'📊 Progress'!$C40,Master_Data[Prac. Book],"D")</f>
        <v>0</v>
      </c>
      <c r="I40" s="156">
        <f>SUMIFS(Master_Data[No. of Chapters],Master_Data[Subject],'📊 Progress'!$C40,Master_Data[Revision],"D")</f>
        <v>0</v>
      </c>
      <c r="J40" s="156">
        <f>SUMIFS(Master_Data[No. of Chapters],Master_Data[Subject],'📊 Progress'!$C40,Master_Data[Inst. Online Portal],"D")</f>
        <v>0</v>
      </c>
      <c r="K40" s="156">
        <f>SUMIFS(Master_Data[No. of Chapters],Master_Data[Subject],'📊 Progress'!$C40,Master_Data[Schweser Prac. Bk 1],"D")</f>
        <v>0</v>
      </c>
      <c r="L40" s="156">
        <f>SUMIFS(Master_Data[No. of Chapters],Master_Data[Subject],'📊 Progress'!$C40,Master_Data[Schweser Prac. Bk 2],"D")</f>
        <v>0</v>
      </c>
      <c r="M40" s="157">
        <f>SUMIF(Master_Data[Subject],'📊 Progress'!C40,Master_Data[Subjectwise weighted average])</f>
        <v>2.2352941176470589</v>
      </c>
      <c r="N40" s="158">
        <v>1</v>
      </c>
      <c r="O40" s="31">
        <f t="shared" ref="O40" si="13">ROUND(AVERAGE(G40:H40),0)</f>
        <v>0</v>
      </c>
      <c r="P40" s="31">
        <f t="shared" ref="P40" si="14">N40-O40</f>
        <v>1</v>
      </c>
      <c r="Q40" s="31">
        <f t="shared" ref="Q40" si="15">F40</f>
        <v>0</v>
      </c>
      <c r="R40" s="31">
        <f t="shared" ref="R40" si="16">N40-F40</f>
        <v>1</v>
      </c>
      <c r="S40" s="31">
        <f t="shared" ref="S40" si="17">N40-I40</f>
        <v>1</v>
      </c>
      <c r="T40" s="31">
        <f t="shared" ref="T40" si="18">ROUND(AVERAGE(J40:L40),0)</f>
        <v>0</v>
      </c>
      <c r="U40" s="31">
        <f t="shared" ref="U40" si="19">N40-T40</f>
        <v>1</v>
      </c>
      <c r="V40" s="30"/>
      <c r="W40" s="30"/>
      <c r="X40" s="30" t="str">
        <f t="shared" ref="X40" si="20">C40</f>
        <v>Ethics</v>
      </c>
      <c r="Y40" s="73">
        <f t="shared" ref="Y40" si="21">(F40/N40)</f>
        <v>0</v>
      </c>
      <c r="Z40" s="73">
        <v>1</v>
      </c>
      <c r="AA40" s="73" t="str">
        <f t="shared" ref="AA40" si="22">IF((O40/N40)=0,"",O40/N40)</f>
        <v/>
      </c>
      <c r="AB40" s="73">
        <v>1</v>
      </c>
      <c r="AC40" s="73">
        <f t="shared" ref="AC40" si="23">I40/N40</f>
        <v>0</v>
      </c>
      <c r="AD40" s="73">
        <v>1</v>
      </c>
      <c r="AE40" s="73" t="str">
        <f t="shared" ref="AE40" si="24">IF((T40/N40)=0,"",T40/N40)</f>
        <v/>
      </c>
      <c r="AF40" s="73">
        <v>1</v>
      </c>
      <c r="AG40" s="73">
        <f t="shared" ref="AG40" si="25">M40/5</f>
        <v>0.44705882352941179</v>
      </c>
      <c r="AH40" s="73">
        <v>1</v>
      </c>
      <c r="AI40" s="32"/>
      <c r="AJ40" s="32"/>
      <c r="AK40" s="32"/>
      <c r="AL40" s="32"/>
    </row>
    <row r="41" spans="1:39" ht="15" customHeight="1" x14ac:dyDescent="0.4">
      <c r="B41" s="256"/>
      <c r="C41" s="159" t="s">
        <v>7</v>
      </c>
      <c r="D41" s="160">
        <f t="shared" ref="D41:L41" si="26">SUM(D33:D39)</f>
        <v>0</v>
      </c>
      <c r="E41" s="160">
        <f t="shared" si="26"/>
        <v>7.4076388888888891</v>
      </c>
      <c r="F41" s="161">
        <f t="shared" si="26"/>
        <v>0</v>
      </c>
      <c r="G41" s="161">
        <f t="shared" si="26"/>
        <v>0</v>
      </c>
      <c r="H41" s="161">
        <f t="shared" si="26"/>
        <v>0</v>
      </c>
      <c r="I41" s="161">
        <f t="shared" si="26"/>
        <v>0</v>
      </c>
      <c r="J41" s="161">
        <f t="shared" si="26"/>
        <v>0</v>
      </c>
      <c r="K41" s="161">
        <f t="shared" si="26"/>
        <v>0</v>
      </c>
      <c r="L41" s="161">
        <f t="shared" si="26"/>
        <v>0</v>
      </c>
      <c r="M41" s="162">
        <f>'⏱ Input'!AD4</f>
        <v>5</v>
      </c>
      <c r="N41" s="161">
        <f>SUM(N33:N39)</f>
        <v>29</v>
      </c>
      <c r="O41" s="33"/>
      <c r="P41" s="33"/>
      <c r="Q41" s="33"/>
      <c r="R41" s="33"/>
      <c r="S41" s="33"/>
      <c r="T41" s="30"/>
      <c r="U41" s="30"/>
      <c r="V41" s="30"/>
      <c r="W41" s="30"/>
      <c r="X41" s="30"/>
      <c r="Y41" s="30"/>
      <c r="Z41" s="30"/>
      <c r="AA41" s="30"/>
      <c r="AB41" s="30"/>
      <c r="AC41" s="30"/>
      <c r="AD41" s="30"/>
      <c r="AE41" s="30"/>
      <c r="AF41" s="30"/>
      <c r="AG41" s="30"/>
      <c r="AH41" s="30"/>
      <c r="AI41" s="30"/>
      <c r="AJ41" s="30"/>
      <c r="AK41" s="30"/>
      <c r="AL41" s="30"/>
      <c r="AM41" s="28"/>
    </row>
    <row r="42" spans="1:39" x14ac:dyDescent="0.35">
      <c r="B42" s="28"/>
      <c r="C42" s="28"/>
      <c r="D42" s="28"/>
      <c r="E42" s="28"/>
      <c r="F42" s="28"/>
      <c r="G42" s="28"/>
      <c r="H42" s="34"/>
      <c r="O42" s="28"/>
      <c r="AD42" s="28"/>
      <c r="AE42" s="28"/>
      <c r="AF42" s="28"/>
      <c r="AG42" s="28"/>
      <c r="AH42" s="28"/>
      <c r="AI42" s="28"/>
      <c r="AJ42" s="28"/>
      <c r="AK42" s="28"/>
      <c r="AL42" s="28"/>
      <c r="AM42" s="28"/>
    </row>
    <row r="43" spans="1:39" x14ac:dyDescent="0.35">
      <c r="B43" s="28"/>
      <c r="C43" s="28"/>
      <c r="D43" s="28"/>
      <c r="E43" s="28"/>
      <c r="F43" s="28"/>
      <c r="G43" s="28"/>
      <c r="H43" s="28"/>
      <c r="O43" s="28"/>
      <c r="AD43" s="28"/>
      <c r="AE43" s="28"/>
      <c r="AF43" s="28"/>
      <c r="AG43" s="28"/>
      <c r="AH43" s="28"/>
      <c r="AI43" s="28"/>
      <c r="AJ43" s="28"/>
      <c r="AK43" s="28"/>
      <c r="AL43" s="28"/>
      <c r="AM43" s="28"/>
    </row>
    <row r="44" spans="1:39" x14ac:dyDescent="0.35">
      <c r="B44" s="28"/>
      <c r="C44" s="28"/>
      <c r="D44" s="28"/>
      <c r="E44" s="28"/>
      <c r="F44" s="28"/>
      <c r="H44" s="28"/>
      <c r="O44" s="28"/>
      <c r="AD44" s="28"/>
      <c r="AE44" s="28"/>
      <c r="AF44" s="28"/>
      <c r="AG44" s="28"/>
      <c r="AH44" s="28"/>
      <c r="AI44" s="28"/>
      <c r="AJ44" s="28"/>
      <c r="AK44" s="28"/>
      <c r="AL44" s="28"/>
      <c r="AM44" s="28"/>
    </row>
    <row r="45" spans="1:39" x14ac:dyDescent="0.35">
      <c r="C45" s="28"/>
      <c r="D45" s="28"/>
      <c r="E45" s="28"/>
      <c r="F45" s="28"/>
      <c r="G45" s="28"/>
      <c r="I45" s="26"/>
      <c r="J45" s="26"/>
      <c r="K45" s="26"/>
      <c r="L45" s="26"/>
      <c r="M45" s="26"/>
      <c r="N45" s="26"/>
      <c r="O45" s="28"/>
      <c r="AD45" s="28"/>
      <c r="AE45" s="28"/>
      <c r="AF45" s="28"/>
      <c r="AG45" s="28"/>
      <c r="AH45" s="28"/>
      <c r="AI45" s="28"/>
      <c r="AJ45" s="28"/>
      <c r="AK45" s="28"/>
      <c r="AL45" s="28"/>
      <c r="AM45" s="28"/>
    </row>
    <row r="46" spans="1:39" x14ac:dyDescent="0.35">
      <c r="C46" s="28"/>
      <c r="D46" s="28"/>
      <c r="E46" s="28"/>
      <c r="F46" s="28"/>
      <c r="G46" s="28"/>
      <c r="H46" s="28"/>
      <c r="O46" s="28"/>
      <c r="X46" s="27"/>
      <c r="Y46" s="27"/>
      <c r="Z46" s="27"/>
      <c r="AA46" s="27"/>
      <c r="AB46" s="27"/>
      <c r="AC46" s="27"/>
      <c r="AD46" s="27"/>
      <c r="AE46" s="27"/>
      <c r="AF46" s="27"/>
      <c r="AG46" s="28"/>
      <c r="AH46" s="28"/>
      <c r="AI46" s="28"/>
      <c r="AJ46" s="28"/>
      <c r="AK46" s="28"/>
      <c r="AL46" s="28"/>
      <c r="AM46" s="28"/>
    </row>
    <row r="47" spans="1:39" x14ac:dyDescent="0.35">
      <c r="C47" s="28"/>
      <c r="D47" s="28"/>
      <c r="E47" s="28"/>
      <c r="F47" s="28"/>
      <c r="G47" s="28"/>
      <c r="H47" s="28"/>
      <c r="O47" s="28"/>
      <c r="X47" s="27"/>
      <c r="Y47" s="27"/>
      <c r="Z47" s="27"/>
      <c r="AA47" s="27"/>
      <c r="AB47" s="27"/>
      <c r="AC47" s="27"/>
      <c r="AD47" s="27"/>
      <c r="AE47" s="27"/>
      <c r="AF47" s="27"/>
      <c r="AG47" s="28"/>
      <c r="AH47" s="28"/>
      <c r="AI47" s="28"/>
      <c r="AJ47" s="28"/>
      <c r="AK47" s="28"/>
      <c r="AL47" s="28"/>
      <c r="AM47" s="28"/>
    </row>
    <row r="48" spans="1:39" x14ac:dyDescent="0.35">
      <c r="C48" s="28"/>
      <c r="D48" s="28"/>
      <c r="E48" s="28"/>
      <c r="F48" s="28"/>
      <c r="G48" s="28"/>
      <c r="H48" s="28"/>
      <c r="O48" s="28"/>
      <c r="X48" s="27"/>
      <c r="Y48" s="27"/>
      <c r="Z48" s="27"/>
      <c r="AA48" s="27"/>
      <c r="AB48" s="27"/>
      <c r="AC48" s="27"/>
      <c r="AD48" s="27"/>
      <c r="AE48" s="27"/>
      <c r="AF48" s="27"/>
      <c r="AG48" s="28"/>
      <c r="AH48" s="28"/>
      <c r="AI48" s="28"/>
      <c r="AJ48" s="28"/>
      <c r="AK48" s="28"/>
      <c r="AL48" s="28"/>
      <c r="AM48" s="28"/>
    </row>
    <row r="49" spans="2:39" x14ac:dyDescent="0.35">
      <c r="C49" s="28"/>
      <c r="D49" s="28"/>
      <c r="E49" s="28"/>
      <c r="F49" s="28"/>
      <c r="G49" s="28"/>
      <c r="H49" s="28"/>
      <c r="O49" s="28"/>
      <c r="X49" s="27"/>
      <c r="Y49" s="27"/>
      <c r="Z49" s="27"/>
      <c r="AA49" s="27"/>
      <c r="AB49" s="27"/>
      <c r="AC49" s="27"/>
      <c r="AD49" s="27"/>
      <c r="AE49" s="27"/>
      <c r="AF49" s="27"/>
      <c r="AG49" s="28"/>
      <c r="AH49" s="28"/>
      <c r="AI49" s="28"/>
      <c r="AJ49" s="28"/>
      <c r="AK49" s="28"/>
      <c r="AL49" s="28"/>
      <c r="AM49" s="28"/>
    </row>
    <row r="50" spans="2:39" x14ac:dyDescent="0.35">
      <c r="C50" s="28"/>
      <c r="D50" s="28"/>
      <c r="E50" s="28"/>
      <c r="F50" s="28"/>
      <c r="G50" s="28"/>
      <c r="H50" s="28"/>
      <c r="O50" s="28"/>
      <c r="X50" s="27"/>
      <c r="Y50" s="27"/>
      <c r="Z50" s="27"/>
      <c r="AA50" s="27"/>
      <c r="AB50" s="27"/>
      <c r="AC50" s="27"/>
      <c r="AD50" s="27"/>
      <c r="AE50" s="27"/>
      <c r="AF50" s="27"/>
      <c r="AG50" s="28"/>
      <c r="AH50" s="28"/>
      <c r="AI50" s="28"/>
      <c r="AJ50" s="28"/>
      <c r="AK50" s="28"/>
      <c r="AL50" s="28"/>
      <c r="AM50" s="28"/>
    </row>
    <row r="51" spans="2:39" x14ac:dyDescent="0.35">
      <c r="C51" s="28"/>
      <c r="D51" s="28"/>
      <c r="E51" s="28"/>
      <c r="F51" s="28"/>
      <c r="G51" s="28"/>
      <c r="H51" s="28"/>
      <c r="O51" s="28"/>
      <c r="X51" s="27"/>
      <c r="Y51" s="27"/>
      <c r="Z51" s="27"/>
      <c r="AA51" s="27"/>
      <c r="AB51" s="27"/>
      <c r="AC51" s="27"/>
      <c r="AD51" s="27"/>
      <c r="AE51" s="27"/>
      <c r="AF51" s="27"/>
      <c r="AG51" s="28"/>
      <c r="AH51" s="28"/>
      <c r="AI51" s="28"/>
      <c r="AJ51" s="28"/>
      <c r="AK51" s="28"/>
      <c r="AL51" s="28"/>
      <c r="AM51" s="28"/>
    </row>
    <row r="52" spans="2:39" x14ac:dyDescent="0.35">
      <c r="C52" s="28"/>
      <c r="D52" s="28"/>
      <c r="E52" s="28"/>
      <c r="F52" s="28"/>
      <c r="G52" s="28"/>
      <c r="H52" s="28"/>
      <c r="O52" s="28"/>
      <c r="X52" s="27"/>
      <c r="Y52" s="27"/>
      <c r="Z52" s="27"/>
      <c r="AA52" s="27"/>
      <c r="AB52" s="27"/>
      <c r="AC52" s="27"/>
      <c r="AD52" s="27"/>
      <c r="AE52" s="27"/>
      <c r="AF52" s="27"/>
      <c r="AG52" s="28"/>
      <c r="AH52" s="28"/>
      <c r="AI52" s="28"/>
      <c r="AJ52" s="28"/>
      <c r="AK52" s="28"/>
      <c r="AL52" s="28"/>
      <c r="AM52" s="28"/>
    </row>
    <row r="53" spans="2:39" x14ac:dyDescent="0.35">
      <c r="C53" s="28"/>
      <c r="D53" s="28"/>
      <c r="E53" s="28"/>
      <c r="F53" s="28"/>
      <c r="G53" s="28"/>
      <c r="H53" s="28"/>
      <c r="O53" s="28"/>
      <c r="X53" s="27"/>
      <c r="Y53" s="27"/>
      <c r="Z53" s="27"/>
      <c r="AA53" s="27"/>
      <c r="AB53" s="27"/>
      <c r="AC53" s="27"/>
      <c r="AD53" s="27"/>
      <c r="AE53" s="27"/>
      <c r="AF53" s="27"/>
      <c r="AG53" s="28"/>
      <c r="AH53" s="28"/>
      <c r="AI53" s="28"/>
      <c r="AJ53" s="28"/>
      <c r="AK53" s="28"/>
      <c r="AL53" s="28"/>
      <c r="AM53" s="28"/>
    </row>
    <row r="54" spans="2:39" x14ac:dyDescent="0.35">
      <c r="C54" s="28"/>
      <c r="D54" s="28"/>
      <c r="E54" s="28"/>
      <c r="F54" s="28"/>
      <c r="G54" s="28"/>
      <c r="H54" s="28"/>
      <c r="O54" s="28"/>
      <c r="X54" s="27"/>
      <c r="Y54" s="27"/>
      <c r="Z54" s="27"/>
      <c r="AA54" s="27"/>
      <c r="AB54" s="27"/>
      <c r="AC54" s="27"/>
      <c r="AD54" s="27"/>
      <c r="AE54" s="27"/>
      <c r="AF54" s="27"/>
      <c r="AG54" s="28"/>
      <c r="AH54" s="28"/>
      <c r="AI54" s="28"/>
    </row>
    <row r="55" spans="2:39" x14ac:dyDescent="0.35">
      <c r="C55" s="28"/>
      <c r="D55" s="28"/>
      <c r="E55" s="28"/>
      <c r="F55" s="28"/>
      <c r="G55" s="28"/>
      <c r="H55" s="28"/>
      <c r="O55" s="28"/>
      <c r="X55" s="27"/>
      <c r="Y55" s="27"/>
      <c r="Z55" s="27"/>
      <c r="AA55" s="27"/>
      <c r="AB55" s="27"/>
      <c r="AC55" s="27"/>
      <c r="AD55" s="27"/>
      <c r="AE55" s="27"/>
      <c r="AF55" s="27"/>
      <c r="AG55" s="28"/>
      <c r="AH55" s="28"/>
      <c r="AI55" s="28"/>
    </row>
    <row r="56" spans="2:39" x14ac:dyDescent="0.35">
      <c r="C56" s="28"/>
      <c r="D56" s="28"/>
      <c r="E56" s="28"/>
      <c r="F56" s="28"/>
      <c r="G56" s="28"/>
      <c r="H56" s="28"/>
      <c r="O56" s="28"/>
      <c r="X56" s="27"/>
      <c r="Y56" s="27"/>
      <c r="Z56" s="27"/>
      <c r="AA56" s="27"/>
      <c r="AB56" s="27"/>
      <c r="AC56" s="27"/>
      <c r="AD56" s="27"/>
      <c r="AE56" s="27"/>
      <c r="AF56" s="27"/>
      <c r="AG56" s="28"/>
      <c r="AH56" s="28"/>
      <c r="AI56" s="28"/>
    </row>
    <row r="57" spans="2:39" x14ac:dyDescent="0.35">
      <c r="B57" s="28"/>
      <c r="C57" s="28"/>
      <c r="D57" s="28"/>
      <c r="E57" s="28"/>
      <c r="F57" s="28"/>
      <c r="G57" s="28"/>
      <c r="I57" s="26"/>
      <c r="J57" s="26"/>
      <c r="K57" s="26"/>
      <c r="L57" s="26"/>
      <c r="M57" s="26"/>
      <c r="N57" s="26"/>
      <c r="X57" s="27"/>
      <c r="Y57" s="27"/>
      <c r="Z57" s="27"/>
      <c r="AA57" s="27"/>
      <c r="AB57" s="27"/>
      <c r="AC57" s="27"/>
      <c r="AD57" s="27"/>
      <c r="AE57" s="27"/>
      <c r="AF57" s="27"/>
      <c r="AG57" s="28"/>
      <c r="AH57" s="28"/>
      <c r="AI57" s="28"/>
    </row>
    <row r="58" spans="2:39" x14ac:dyDescent="0.35">
      <c r="B58" s="28"/>
      <c r="C58" s="28"/>
      <c r="D58" s="28"/>
      <c r="E58" s="28"/>
      <c r="F58" s="28"/>
      <c r="G58" s="28"/>
      <c r="I58" s="26"/>
      <c r="J58" s="26"/>
      <c r="K58" s="26"/>
      <c r="L58" s="26"/>
      <c r="M58" s="26"/>
      <c r="N58" s="26"/>
      <c r="X58" s="27"/>
      <c r="Y58" s="27"/>
      <c r="Z58" s="27"/>
      <c r="AA58" s="27"/>
      <c r="AB58" s="27"/>
      <c r="AC58" s="27"/>
      <c r="AD58" s="27"/>
      <c r="AE58" s="27"/>
      <c r="AF58" s="27"/>
      <c r="AG58" s="28"/>
      <c r="AH58" s="28"/>
      <c r="AI58" s="28"/>
    </row>
    <row r="59" spans="2:39" x14ac:dyDescent="0.35">
      <c r="C59" s="28"/>
      <c r="D59" s="28"/>
      <c r="E59" s="28"/>
      <c r="F59" s="28"/>
      <c r="G59" s="28"/>
      <c r="H59" s="28"/>
      <c r="I59" s="26"/>
      <c r="J59" s="26"/>
      <c r="K59" s="26"/>
      <c r="L59" s="26"/>
      <c r="M59" s="26"/>
      <c r="N59" s="26"/>
      <c r="X59" s="27"/>
      <c r="Y59" s="27"/>
      <c r="Z59" s="27"/>
      <c r="AA59" s="27"/>
      <c r="AB59" s="27"/>
      <c r="AC59" s="27"/>
      <c r="AD59" s="27"/>
      <c r="AE59" s="27"/>
      <c r="AF59" s="27"/>
      <c r="AG59" s="28"/>
      <c r="AH59" s="28"/>
      <c r="AI59" s="28"/>
    </row>
    <row r="60" spans="2:39" x14ac:dyDescent="0.35">
      <c r="C60" s="28"/>
      <c r="D60" s="28"/>
      <c r="E60" s="28"/>
      <c r="F60" s="28"/>
      <c r="G60" s="28"/>
      <c r="H60" s="28"/>
      <c r="O60" s="28"/>
      <c r="X60" s="27"/>
      <c r="Y60" s="27"/>
      <c r="Z60" s="27"/>
      <c r="AA60" s="27"/>
      <c r="AB60" s="27"/>
      <c r="AC60" s="27"/>
      <c r="AD60" s="27"/>
      <c r="AE60" s="27"/>
      <c r="AF60" s="27"/>
      <c r="AG60" s="28"/>
      <c r="AH60" s="28"/>
      <c r="AI60" s="28"/>
    </row>
    <row r="61" spans="2:39" x14ac:dyDescent="0.35">
      <c r="C61" s="28"/>
      <c r="D61" s="28"/>
      <c r="E61" s="28"/>
      <c r="F61" s="28"/>
      <c r="G61" s="28"/>
      <c r="H61" s="28"/>
      <c r="O61" s="28"/>
      <c r="AD61" s="28"/>
      <c r="AE61" s="28"/>
      <c r="AF61" s="28"/>
      <c r="AG61" s="28"/>
      <c r="AH61" s="28"/>
      <c r="AI61" s="28"/>
    </row>
    <row r="62" spans="2:39" x14ac:dyDescent="0.35">
      <c r="C62" s="28"/>
      <c r="D62" s="28"/>
      <c r="E62" s="28"/>
      <c r="F62" s="28"/>
      <c r="G62" s="28"/>
      <c r="H62" s="28"/>
      <c r="O62" s="28"/>
      <c r="AD62" s="28"/>
      <c r="AE62" s="28"/>
      <c r="AF62" s="28"/>
      <c r="AG62" s="28"/>
      <c r="AH62" s="28"/>
      <c r="AI62" s="28"/>
    </row>
    <row r="63" spans="2:39" x14ac:dyDescent="0.35">
      <c r="C63" s="28"/>
      <c r="D63" s="28"/>
      <c r="E63" s="28"/>
      <c r="F63" s="28"/>
      <c r="G63" s="28"/>
      <c r="H63" s="28"/>
      <c r="O63" s="28"/>
      <c r="AD63" s="28"/>
      <c r="AE63" s="28"/>
      <c r="AF63" s="28"/>
      <c r="AG63" s="28"/>
      <c r="AH63" s="28"/>
      <c r="AI63" s="28"/>
    </row>
    <row r="64" spans="2:39" x14ac:dyDescent="0.35">
      <c r="C64" s="28"/>
      <c r="D64" s="28"/>
      <c r="E64" s="28"/>
      <c r="F64" s="28"/>
      <c r="G64" s="28"/>
      <c r="H64" s="28"/>
      <c r="O64" s="28"/>
      <c r="AD64" s="28"/>
      <c r="AE64" s="28"/>
      <c r="AF64" s="28"/>
      <c r="AG64" s="28"/>
      <c r="AH64" s="28"/>
      <c r="AI64" s="28"/>
    </row>
    <row r="65" spans="3:35" x14ac:dyDescent="0.35">
      <c r="C65" s="28"/>
      <c r="D65" s="28"/>
      <c r="E65" s="28"/>
      <c r="F65" s="28"/>
      <c r="G65" s="28"/>
      <c r="H65" s="28"/>
      <c r="O65" s="28"/>
      <c r="AD65" s="28"/>
      <c r="AE65" s="28"/>
      <c r="AF65" s="28"/>
      <c r="AG65" s="28"/>
      <c r="AH65" s="28"/>
      <c r="AI65" s="28"/>
    </row>
    <row r="66" spans="3:35" x14ac:dyDescent="0.35">
      <c r="C66" s="28"/>
      <c r="D66" s="28"/>
      <c r="E66" s="28"/>
      <c r="F66" s="28"/>
      <c r="G66" s="28"/>
      <c r="H66" s="28"/>
      <c r="O66" s="28"/>
      <c r="AD66" s="28"/>
      <c r="AE66" s="28"/>
      <c r="AF66" s="28"/>
      <c r="AG66" s="28"/>
      <c r="AH66" s="28"/>
      <c r="AI66" s="28"/>
    </row>
    <row r="67" spans="3:35" x14ac:dyDescent="0.35">
      <c r="C67" s="28"/>
      <c r="D67" s="28"/>
      <c r="E67" s="28"/>
      <c r="F67" s="28"/>
      <c r="G67" s="28"/>
      <c r="H67" s="28"/>
      <c r="O67" s="28"/>
      <c r="AD67" s="28"/>
      <c r="AE67" s="28"/>
      <c r="AF67" s="28"/>
      <c r="AG67" s="28"/>
      <c r="AH67" s="28"/>
      <c r="AI67" s="28"/>
    </row>
    <row r="68" spans="3:35" x14ac:dyDescent="0.35">
      <c r="C68" s="28"/>
      <c r="D68" s="28"/>
      <c r="E68" s="28"/>
      <c r="F68" s="28"/>
      <c r="G68" s="28"/>
      <c r="H68" s="28"/>
      <c r="O68" s="28"/>
      <c r="AD68" s="28"/>
      <c r="AE68" s="28"/>
      <c r="AF68" s="28"/>
      <c r="AG68" s="28"/>
      <c r="AH68" s="28"/>
      <c r="AI68" s="28"/>
    </row>
    <row r="69" spans="3:35" x14ac:dyDescent="0.35">
      <c r="C69" s="28"/>
      <c r="D69" s="28"/>
      <c r="E69" s="28"/>
      <c r="F69" s="28"/>
      <c r="G69" s="28"/>
      <c r="H69" s="28"/>
      <c r="O69" s="28"/>
      <c r="AD69" s="28"/>
      <c r="AE69" s="28"/>
      <c r="AF69" s="28"/>
      <c r="AG69" s="28"/>
      <c r="AH69" s="28"/>
      <c r="AI69" s="28"/>
    </row>
    <row r="70" spans="3:35" x14ac:dyDescent="0.35">
      <c r="C70" s="28"/>
      <c r="D70" s="28"/>
      <c r="E70" s="28"/>
      <c r="F70" s="28"/>
      <c r="G70" s="28"/>
      <c r="H70" s="28"/>
      <c r="O70" s="28"/>
      <c r="AD70" s="28"/>
      <c r="AE70" s="28"/>
      <c r="AF70" s="28"/>
      <c r="AG70" s="28"/>
      <c r="AH70" s="28"/>
      <c r="AI70" s="28"/>
    </row>
    <row r="71" spans="3:35" x14ac:dyDescent="0.35">
      <c r="C71" s="28"/>
      <c r="D71" s="28"/>
      <c r="E71" s="28"/>
      <c r="F71" s="28"/>
      <c r="G71" s="28"/>
      <c r="H71" s="28"/>
      <c r="O71" s="28"/>
      <c r="AD71" s="28"/>
      <c r="AE71" s="28"/>
      <c r="AF71" s="28"/>
      <c r="AG71" s="28"/>
      <c r="AH71" s="28"/>
      <c r="AI71" s="28"/>
    </row>
    <row r="72" spans="3:35" x14ac:dyDescent="0.35">
      <c r="C72" s="28"/>
      <c r="D72" s="28"/>
      <c r="E72" s="28"/>
      <c r="F72" s="28"/>
      <c r="G72" s="28"/>
      <c r="H72" s="28"/>
      <c r="O72" s="28"/>
      <c r="AD72" s="28"/>
      <c r="AE72" s="28"/>
      <c r="AF72" s="28"/>
      <c r="AG72" s="28"/>
      <c r="AH72" s="28"/>
      <c r="AI72" s="28"/>
    </row>
    <row r="73" spans="3:35" x14ac:dyDescent="0.35">
      <c r="C73" s="28"/>
      <c r="D73" s="28"/>
      <c r="E73" s="28"/>
      <c r="F73" s="28"/>
      <c r="H73" s="28"/>
      <c r="O73" s="28"/>
      <c r="AD73" s="28"/>
      <c r="AE73" s="28"/>
      <c r="AF73" s="28"/>
      <c r="AG73" s="28"/>
      <c r="AH73" s="28"/>
      <c r="AI73" s="28"/>
    </row>
    <row r="74" spans="3:35" x14ac:dyDescent="0.35">
      <c r="C74" s="28"/>
      <c r="D74" s="28"/>
      <c r="E74" s="28"/>
      <c r="F74" s="28"/>
      <c r="O74" s="28"/>
      <c r="AD74" s="28"/>
      <c r="AE74" s="28"/>
      <c r="AF74" s="28"/>
      <c r="AG74" s="28"/>
      <c r="AH74" s="28"/>
      <c r="AI74" s="28"/>
    </row>
    <row r="75" spans="3:35" x14ac:dyDescent="0.35">
      <c r="C75" s="28"/>
      <c r="D75" s="28"/>
      <c r="E75" s="28"/>
      <c r="F75" s="28"/>
      <c r="O75" s="28"/>
      <c r="AD75" s="28"/>
      <c r="AE75" s="28"/>
      <c r="AF75" s="28"/>
      <c r="AG75" s="28"/>
      <c r="AH75" s="28"/>
      <c r="AI75" s="28"/>
    </row>
    <row r="76" spans="3:35" x14ac:dyDescent="0.35">
      <c r="C76" s="28"/>
      <c r="D76" s="28"/>
      <c r="E76" s="28"/>
      <c r="F76" s="28"/>
      <c r="AD76" s="28"/>
      <c r="AE76" s="28"/>
      <c r="AF76" s="28"/>
      <c r="AG76" s="28"/>
      <c r="AH76" s="28"/>
      <c r="AI76" s="28"/>
    </row>
    <row r="77" spans="3:35" x14ac:dyDescent="0.35">
      <c r="C77" s="28"/>
      <c r="D77" s="28"/>
      <c r="E77" s="28"/>
      <c r="F77" s="28"/>
      <c r="AD77" s="28"/>
      <c r="AE77" s="28"/>
      <c r="AF77" s="28"/>
      <c r="AG77" s="28"/>
      <c r="AH77" s="28"/>
      <c r="AI77" s="28"/>
    </row>
    <row r="78" spans="3:35" x14ac:dyDescent="0.35">
      <c r="C78" s="28"/>
      <c r="D78" s="28"/>
      <c r="E78" s="28"/>
      <c r="F78" s="28"/>
      <c r="AD78" s="28"/>
      <c r="AE78" s="28"/>
      <c r="AF78" s="28"/>
      <c r="AG78" s="28"/>
      <c r="AH78" s="28"/>
      <c r="AI78" s="28"/>
    </row>
    <row r="79" spans="3:35" x14ac:dyDescent="0.35">
      <c r="C79" s="28"/>
      <c r="D79" s="28"/>
      <c r="E79" s="28"/>
      <c r="F79" s="28"/>
      <c r="AD79" s="28"/>
      <c r="AE79" s="28"/>
      <c r="AF79" s="28"/>
      <c r="AG79" s="28"/>
      <c r="AH79" s="28"/>
      <c r="AI79" s="28"/>
    </row>
    <row r="80" spans="3:35" x14ac:dyDescent="0.35">
      <c r="C80" s="28"/>
      <c r="D80" s="28"/>
      <c r="E80" s="28"/>
      <c r="F80" s="28"/>
    </row>
    <row r="81" spans="3:6" x14ac:dyDescent="0.35">
      <c r="C81" s="28"/>
      <c r="D81" s="28"/>
      <c r="E81" s="28"/>
      <c r="F81" s="28"/>
    </row>
    <row r="82" spans="3:6" x14ac:dyDescent="0.35">
      <c r="C82" s="28"/>
      <c r="D82" s="28"/>
      <c r="E82" s="28"/>
      <c r="F82" s="28"/>
    </row>
    <row r="83" spans="3:6" x14ac:dyDescent="0.35">
      <c r="C83" s="28"/>
      <c r="D83" s="28"/>
      <c r="E83" s="28"/>
      <c r="F83" s="28"/>
    </row>
    <row r="84" spans="3:6" x14ac:dyDescent="0.35">
      <c r="C84" s="28"/>
      <c r="D84" s="28"/>
      <c r="E84" s="28"/>
      <c r="F84" s="28"/>
    </row>
    <row r="85" spans="3:6" x14ac:dyDescent="0.35">
      <c r="C85" s="28"/>
      <c r="D85" s="28"/>
      <c r="E85" s="28"/>
      <c r="F85" s="28"/>
    </row>
    <row r="86" spans="3:6" x14ac:dyDescent="0.35">
      <c r="C86" s="28"/>
      <c r="D86" s="28"/>
      <c r="E86" s="28"/>
      <c r="F86" s="28"/>
    </row>
    <row r="87" spans="3:6" x14ac:dyDescent="0.35">
      <c r="C87" s="28"/>
      <c r="D87" s="28"/>
      <c r="E87" s="28"/>
      <c r="F87" s="28"/>
    </row>
    <row r="88" spans="3:6" x14ac:dyDescent="0.35">
      <c r="C88" s="28"/>
      <c r="D88" s="28"/>
      <c r="E88" s="28"/>
      <c r="F88" s="28"/>
    </row>
  </sheetData>
  <sheetProtection algorithmName="SHA-512" hashValue="HvaPf0HVeuhqPv7IIW0NEqHIH4TR/w7MlC8ymgQMx2pqZXeGnw8l8GmWQRMzC7BIbQORzEhxZAmKey+U+R5GyQ==" saltValue="pb1zPwg5HmW1JrznUcLgIA==" spinCount="100000" sheet="1" selectLockedCells="1" selectUnlockedCells="1"/>
  <mergeCells count="9">
    <mergeCell ref="T26:T27"/>
    <mergeCell ref="C2:O3"/>
    <mergeCell ref="D31:F31"/>
    <mergeCell ref="C31:C32"/>
    <mergeCell ref="N31:N32"/>
    <mergeCell ref="G31:H31"/>
    <mergeCell ref="M31:M32"/>
    <mergeCell ref="B5:Q6"/>
    <mergeCell ref="J31:L31"/>
  </mergeCells>
  <conditionalFormatting sqref="D33:E33">
    <cfRule type="dataBar" priority="13">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12">
      <dataBar>
        <cfvo type="min"/>
        <cfvo type="max"/>
        <color theme="2"/>
      </dataBar>
      <extLst>
        <ext xmlns:x14="http://schemas.microsoft.com/office/spreadsheetml/2009/9/main" uri="{B025F937-C7B1-47D3-B67F-A62EFF666E3E}">
          <x14:id>{858FAF06-12F6-410D-BA4B-51C970D09B29}</x14:id>
        </ext>
      </extLst>
    </cfRule>
  </conditionalFormatting>
  <conditionalFormatting sqref="D35:E35">
    <cfRule type="dataBar" priority="11">
      <dataBar>
        <cfvo type="min"/>
        <cfvo type="max"/>
        <color theme="2"/>
      </dataBar>
      <extLst>
        <ext xmlns:x14="http://schemas.microsoft.com/office/spreadsheetml/2009/9/main" uri="{B025F937-C7B1-47D3-B67F-A62EFF666E3E}">
          <x14:id>{65B2A085-6781-4313-9EC4-CAAD64FE8ECE}</x14:id>
        </ext>
      </extLst>
    </cfRule>
  </conditionalFormatting>
  <conditionalFormatting sqref="D36:E36">
    <cfRule type="dataBar" priority="10">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9">
      <dataBar>
        <cfvo type="min"/>
        <cfvo type="max"/>
        <color theme="2"/>
      </dataBar>
      <extLst>
        <ext xmlns:x14="http://schemas.microsoft.com/office/spreadsheetml/2009/9/main" uri="{B025F937-C7B1-47D3-B67F-A62EFF666E3E}">
          <x14:id>{95A34E89-55B1-4A9B-AE65-4EEDE04A6876}</x14:id>
        </ext>
      </extLst>
    </cfRule>
  </conditionalFormatting>
  <conditionalFormatting sqref="D38:E38">
    <cfRule type="dataBar" priority="8">
      <dataBar>
        <cfvo type="min"/>
        <cfvo type="max"/>
        <color theme="2"/>
      </dataBar>
      <extLst>
        <ext xmlns:x14="http://schemas.microsoft.com/office/spreadsheetml/2009/9/main" uri="{B025F937-C7B1-47D3-B67F-A62EFF666E3E}">
          <x14:id>{30FABE33-45FA-400C-ACE6-932C6E3F9C2B}</x14:id>
        </ext>
      </extLst>
    </cfRule>
  </conditionalFormatting>
  <conditionalFormatting sqref="D39:E39">
    <cfRule type="dataBar" priority="7">
      <dataBar>
        <cfvo type="min"/>
        <cfvo type="max"/>
        <color theme="2"/>
      </dataBar>
      <extLst>
        <ext xmlns:x14="http://schemas.microsoft.com/office/spreadsheetml/2009/9/main" uri="{B025F937-C7B1-47D3-B67F-A62EFF666E3E}">
          <x14:id>{6BC51323-A803-468B-8B91-192C87775742}</x14:id>
        </ext>
      </extLst>
    </cfRule>
  </conditionalFormatting>
  <conditionalFormatting sqref="D40:E40">
    <cfRule type="dataBar" priority="2">
      <dataBar>
        <cfvo type="min"/>
        <cfvo type="max"/>
        <color theme="2"/>
      </dataBar>
      <extLst>
        <ext xmlns:x14="http://schemas.microsoft.com/office/spreadsheetml/2009/9/main" uri="{B025F937-C7B1-47D3-B67F-A62EFF666E3E}">
          <x14:id>{9A8D8133-1235-43C9-A3B9-165E56A3711A}</x14:id>
        </ext>
      </extLst>
    </cfRule>
  </conditionalFormatting>
  <conditionalFormatting sqref="F33:L33 N33">
    <cfRule type="dataBar" priority="63">
      <dataBar>
        <cfvo type="min"/>
        <cfvo type="max"/>
        <color theme="2"/>
      </dataBar>
      <extLst>
        <ext xmlns:x14="http://schemas.microsoft.com/office/spreadsheetml/2009/9/main" uri="{B025F937-C7B1-47D3-B67F-A62EFF666E3E}">
          <x14:id>{4BE4F2C4-9230-4C51-9E97-D225E9A5D985}</x14:id>
        </ext>
      </extLst>
    </cfRule>
  </conditionalFormatting>
  <conditionalFormatting sqref="F34:L34 N34">
    <cfRule type="dataBar" priority="64">
      <dataBar>
        <cfvo type="min"/>
        <cfvo type="max"/>
        <color theme="2"/>
      </dataBar>
      <extLst>
        <ext xmlns:x14="http://schemas.microsoft.com/office/spreadsheetml/2009/9/main" uri="{B025F937-C7B1-47D3-B67F-A62EFF666E3E}">
          <x14:id>{657745C0-4D96-4A1A-AD3C-D0A625436348}</x14:id>
        </ext>
      </extLst>
    </cfRule>
  </conditionalFormatting>
  <conditionalFormatting sqref="F35:L35 N35">
    <cfRule type="dataBar" priority="65">
      <dataBar>
        <cfvo type="min"/>
        <cfvo type="max"/>
        <color theme="2"/>
      </dataBar>
      <extLst>
        <ext xmlns:x14="http://schemas.microsoft.com/office/spreadsheetml/2009/9/main" uri="{B025F937-C7B1-47D3-B67F-A62EFF666E3E}">
          <x14:id>{C43CFAC4-1869-44F1-9C71-3C5BF1D58C8F}</x14:id>
        </ext>
      </extLst>
    </cfRule>
  </conditionalFormatting>
  <conditionalFormatting sqref="F36:L36 N36">
    <cfRule type="dataBar" priority="66">
      <dataBar>
        <cfvo type="min"/>
        <cfvo type="max"/>
        <color theme="2"/>
      </dataBar>
      <extLst>
        <ext xmlns:x14="http://schemas.microsoft.com/office/spreadsheetml/2009/9/main" uri="{B025F937-C7B1-47D3-B67F-A62EFF666E3E}">
          <x14:id>{E5A9913A-4931-4304-9656-B09097024898}</x14:id>
        </ext>
      </extLst>
    </cfRule>
  </conditionalFormatting>
  <conditionalFormatting sqref="F37:L37 N37">
    <cfRule type="dataBar" priority="67">
      <dataBar>
        <cfvo type="min"/>
        <cfvo type="max"/>
        <color theme="2"/>
      </dataBar>
      <extLst>
        <ext xmlns:x14="http://schemas.microsoft.com/office/spreadsheetml/2009/9/main" uri="{B025F937-C7B1-47D3-B67F-A62EFF666E3E}">
          <x14:id>{47D12EEF-1E7C-443B-98EE-26AEB387CDA1}</x14:id>
        </ext>
      </extLst>
    </cfRule>
  </conditionalFormatting>
  <conditionalFormatting sqref="F38:L38 N38">
    <cfRule type="dataBar" priority="68">
      <dataBar>
        <cfvo type="min"/>
        <cfvo type="max"/>
        <color theme="2"/>
      </dataBar>
      <extLst>
        <ext xmlns:x14="http://schemas.microsoft.com/office/spreadsheetml/2009/9/main" uri="{B025F937-C7B1-47D3-B67F-A62EFF666E3E}">
          <x14:id>{9BC54A58-BBA8-4FC3-B5A3-D76F5738DB8F}</x14:id>
        </ext>
      </extLst>
    </cfRule>
  </conditionalFormatting>
  <conditionalFormatting sqref="F39:L39 N39">
    <cfRule type="dataBar" priority="69">
      <dataBar>
        <cfvo type="min"/>
        <cfvo type="max"/>
        <color theme="2"/>
      </dataBar>
      <extLst>
        <ext xmlns:x14="http://schemas.microsoft.com/office/spreadsheetml/2009/9/main" uri="{B025F937-C7B1-47D3-B67F-A62EFF666E3E}">
          <x14:id>{4EADCBAB-DAE2-4EA0-8232-DD2B6BEBA9B7}</x14:id>
        </ext>
      </extLst>
    </cfRule>
  </conditionalFormatting>
  <conditionalFormatting sqref="F40:L40 N40">
    <cfRule type="dataBar" priority="277">
      <dataBar>
        <cfvo type="min"/>
        <cfvo type="max"/>
        <color theme="2"/>
      </dataBar>
      <extLst>
        <ext xmlns:x14="http://schemas.microsoft.com/office/spreadsheetml/2009/9/main" uri="{B025F937-C7B1-47D3-B67F-A62EFF666E3E}">
          <x14:id>{36BCA83E-CD5C-463F-B9C7-34B3B8C75D00}</x14:id>
        </ext>
      </extLst>
    </cfRule>
  </conditionalFormatting>
  <conditionalFormatting sqref="M33:M41">
    <cfRule type="dataBar" priority="274">
      <dataBar>
        <cfvo type="min"/>
        <cfvo type="max"/>
        <color theme="2"/>
      </dataBar>
      <extLst>
        <ext xmlns:x14="http://schemas.microsoft.com/office/spreadsheetml/2009/9/main" uri="{B025F937-C7B1-47D3-B67F-A62EFF666E3E}">
          <x14:id>{03DE95BE-3C15-45C9-A3A3-FEF229BCD047}</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6BC51323-A803-468B-8B91-192C87775742}">
            <x14:dataBar minLength="0" maxLength="100" gradient="0">
              <x14:cfvo type="autoMin"/>
              <x14:cfvo type="autoMax"/>
              <x14:negativeFillColor rgb="FFFF0000"/>
              <x14:axisColor rgb="FF000000"/>
            </x14:dataBar>
          </x14:cfRule>
          <xm:sqref>D39:E39</xm:sqref>
        </x14:conditionalFormatting>
        <x14:conditionalFormatting xmlns:xm="http://schemas.microsoft.com/office/excel/2006/main">
          <x14:cfRule type="dataBar" id="{9A8D8133-1235-43C9-A3B9-165E56A3711A}">
            <x14:dataBar minLength="0" maxLength="100" gradient="0">
              <x14:cfvo type="autoMin"/>
              <x14:cfvo type="autoMax"/>
              <x14:negativeFillColor rgb="FFFF0000"/>
              <x14:axisColor rgb="FF000000"/>
            </x14:dataBar>
          </x14:cfRule>
          <xm:sqref>D40:E40</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F33:L33 N33</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F34:L34 N34</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F35:L35 N35</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F36:L36 N36</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F37:L37 N37</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F38:L38 N38</xm:sqref>
        </x14:conditionalFormatting>
        <x14:conditionalFormatting xmlns:xm="http://schemas.microsoft.com/office/excel/2006/main">
          <x14:cfRule type="dataBar" id="{4EADCBAB-DAE2-4EA0-8232-DD2B6BEBA9B7}">
            <x14:dataBar minLength="0" maxLength="100" gradient="0">
              <x14:cfvo type="autoMin"/>
              <x14:cfvo type="autoMax"/>
              <x14:negativeFillColor rgb="FFFF0000"/>
              <x14:axisColor rgb="FF000000"/>
            </x14:dataBar>
          </x14:cfRule>
          <xm:sqref>F39:L39 N39</xm:sqref>
        </x14:conditionalFormatting>
        <x14:conditionalFormatting xmlns:xm="http://schemas.microsoft.com/office/excel/2006/main">
          <x14:cfRule type="dataBar" id="{36BCA83E-CD5C-463F-B9C7-34B3B8C75D00}">
            <x14:dataBar minLength="0" maxLength="100" gradient="0">
              <x14:cfvo type="autoMin"/>
              <x14:cfvo type="autoMax"/>
              <x14:negativeFillColor rgb="FFFF0000"/>
              <x14:axisColor rgb="FF000000"/>
            </x14:dataBar>
          </x14:cfRule>
          <xm:sqref>F40:L40 N40</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M33:M41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tabSelected="1" zoomScale="115" zoomScaleNormal="115" workbookViewId="0">
      <selection activeCell="Q50" sqref="Q50"/>
    </sheetView>
  </sheetViews>
  <sheetFormatPr defaultColWidth="8.7265625" defaultRowHeight="14" x14ac:dyDescent="0.3"/>
  <cols>
    <col min="1" max="1" width="0.81640625" style="175" customWidth="1"/>
    <col min="2" max="2" width="3.7265625" style="175" customWidth="1"/>
    <col min="3" max="3" width="3.7265625" style="174" customWidth="1"/>
    <col min="4" max="4" width="3.453125" style="175" customWidth="1"/>
    <col min="5" max="5" width="12" style="175" customWidth="1"/>
    <col min="6" max="6" width="5.81640625" style="175" customWidth="1"/>
    <col min="7" max="7" width="10.453125" style="175" customWidth="1"/>
    <col min="8" max="8" width="1.453125" style="175" customWidth="1"/>
    <col min="9" max="9" width="10.453125" style="175" customWidth="1"/>
    <col min="10" max="10" width="5.81640625" style="175" customWidth="1"/>
    <col min="11" max="11" width="10.453125" style="175" customWidth="1"/>
    <col min="12" max="12" width="1.453125" style="175" customWidth="1"/>
    <col min="13" max="13" width="10.453125" style="175" customWidth="1"/>
    <col min="14" max="14" width="5.81640625" style="175" customWidth="1"/>
    <col min="15" max="15" width="10.453125" style="175" customWidth="1"/>
    <col min="16" max="16" width="1.453125" style="175" customWidth="1"/>
    <col min="17" max="17" width="10.453125" style="175" customWidth="1"/>
    <col min="18" max="18" width="5.81640625" style="175" customWidth="1"/>
    <col min="19" max="19" width="10.453125" style="175" customWidth="1"/>
    <col min="20" max="20" width="1.453125" style="175" customWidth="1"/>
    <col min="21" max="21" width="10.453125" style="175" customWidth="1"/>
    <col min="22" max="22" width="5.81640625" style="175" customWidth="1"/>
    <col min="23" max="24" width="9.453125" style="175" customWidth="1"/>
    <col min="25" max="25" width="9.54296875" style="175" customWidth="1"/>
    <col min="26" max="26" width="9.26953125" style="175" customWidth="1"/>
    <col min="27" max="27" width="7.26953125" style="175" customWidth="1"/>
    <col min="28" max="31" width="9.453125" style="175" customWidth="1"/>
    <col min="32" max="16384" width="8.7265625" style="175"/>
  </cols>
  <sheetData>
    <row r="1" spans="3:27" ht="7.5" customHeight="1" x14ac:dyDescent="0.3"/>
    <row r="2" spans="3:27" ht="7.5" customHeight="1" x14ac:dyDescent="0.3"/>
    <row r="5" spans="3:27" ht="11.25" customHeight="1" x14ac:dyDescent="0.3"/>
    <row r="6" spans="3:27" ht="20" x14ac:dyDescent="0.4">
      <c r="M6" s="285" t="s">
        <v>112</v>
      </c>
      <c r="N6" s="285"/>
      <c r="O6" s="285"/>
      <c r="P6" s="285"/>
    </row>
    <row r="7" spans="3:27" ht="18" customHeight="1" x14ac:dyDescent="0.3">
      <c r="D7" s="176" t="s">
        <v>163</v>
      </c>
      <c r="E7" s="177"/>
      <c r="F7" s="177"/>
      <c r="G7" s="177"/>
      <c r="H7" s="177"/>
      <c r="I7" s="177"/>
      <c r="K7" s="178"/>
      <c r="L7" s="178"/>
      <c r="M7" s="309"/>
      <c r="N7" s="309"/>
      <c r="O7" s="309"/>
      <c r="P7" s="309"/>
      <c r="Q7" s="178"/>
      <c r="R7" s="178"/>
      <c r="S7" s="299" t="str">
        <f ca="1">Message</f>
        <v>Your Name, you have 
244 days to complete 33 chapters &amp; 174 hrs of lectures.
For this you must study for 0:51 hrs and 2:44 hrs respectively on weekdays &amp; weekends.</v>
      </c>
      <c r="T7" s="299"/>
      <c r="U7" s="299"/>
      <c r="V7" s="299"/>
    </row>
    <row r="8" spans="3:27" ht="18.649999999999999" customHeight="1" x14ac:dyDescent="0.3">
      <c r="D8" s="179" t="s">
        <v>133</v>
      </c>
      <c r="E8" s="177"/>
      <c r="F8" s="177"/>
      <c r="G8" s="177"/>
      <c r="H8" s="177"/>
      <c r="I8" s="44">
        <v>2.5</v>
      </c>
      <c r="K8" s="178"/>
      <c r="L8" s="178"/>
      <c r="M8" s="178"/>
      <c r="N8" s="178"/>
      <c r="O8" s="178"/>
      <c r="P8" s="178"/>
      <c r="Q8" s="178"/>
      <c r="R8" s="257">
        <v>2.5</v>
      </c>
      <c r="S8" s="299"/>
      <c r="T8" s="299"/>
      <c r="U8" s="299"/>
      <c r="V8" s="299"/>
    </row>
    <row r="9" spans="3:27" ht="18.649999999999999" customHeight="1" x14ac:dyDescent="0.3">
      <c r="D9" s="179" t="s">
        <v>134</v>
      </c>
      <c r="E9" s="177"/>
      <c r="F9" s="177"/>
      <c r="G9" s="177"/>
      <c r="H9" s="177"/>
      <c r="I9" s="44">
        <v>8</v>
      </c>
      <c r="K9" s="178"/>
      <c r="L9" s="178"/>
      <c r="M9" s="178"/>
      <c r="N9" s="178"/>
      <c r="O9" s="178"/>
      <c r="P9" s="178"/>
      <c r="Q9" s="178"/>
      <c r="R9" s="178"/>
      <c r="S9" s="299"/>
      <c r="T9" s="299"/>
      <c r="U9" s="299"/>
      <c r="V9" s="299"/>
    </row>
    <row r="10" spans="3:27" ht="18.649999999999999" customHeight="1" x14ac:dyDescent="0.3">
      <c r="D10" s="179" t="s">
        <v>135</v>
      </c>
      <c r="E10" s="177"/>
      <c r="F10" s="177"/>
      <c r="G10" s="177"/>
      <c r="H10" s="177"/>
      <c r="I10" s="44">
        <v>5</v>
      </c>
      <c r="K10" s="178"/>
      <c r="L10" s="178"/>
      <c r="M10" s="178"/>
      <c r="O10" s="178"/>
      <c r="P10" s="178"/>
      <c r="Q10" s="178"/>
      <c r="R10" s="180"/>
      <c r="S10" s="299"/>
      <c r="T10" s="299"/>
      <c r="U10" s="299"/>
      <c r="V10" s="299"/>
    </row>
    <row r="11" spans="3:27" ht="18.649999999999999" customHeight="1" x14ac:dyDescent="0.3">
      <c r="D11" s="179" t="s">
        <v>136</v>
      </c>
      <c r="E11" s="177"/>
      <c r="F11" s="177"/>
      <c r="G11" s="177"/>
      <c r="H11" s="177"/>
      <c r="I11" s="45">
        <v>21</v>
      </c>
      <c r="K11" s="178"/>
      <c r="L11" s="178"/>
      <c r="M11" s="178"/>
      <c r="O11" s="178"/>
      <c r="P11" s="178"/>
      <c r="Q11" s="178"/>
      <c r="R11" s="181"/>
      <c r="S11" s="299"/>
      <c r="T11" s="299"/>
      <c r="U11" s="299"/>
      <c r="V11" s="299"/>
    </row>
    <row r="12" spans="3:27" ht="18.649999999999999" customHeight="1" x14ac:dyDescent="0.3">
      <c r="D12" s="179" t="s">
        <v>152</v>
      </c>
      <c r="E12" s="177"/>
      <c r="F12" s="177"/>
      <c r="G12" s="177"/>
      <c r="H12" s="177"/>
      <c r="I12" s="45">
        <v>5</v>
      </c>
      <c r="K12" s="178"/>
      <c r="L12" s="178"/>
      <c r="M12" s="178"/>
      <c r="O12" s="178"/>
      <c r="P12" s="178"/>
      <c r="Q12" s="178"/>
      <c r="S12" s="299"/>
      <c r="T12" s="299"/>
      <c r="U12" s="299"/>
      <c r="V12" s="299"/>
    </row>
    <row r="14" spans="3:27" s="182" customFormat="1" ht="18.75" customHeight="1" x14ac:dyDescent="0.3">
      <c r="C14" s="174"/>
      <c r="G14" s="289"/>
      <c r="H14" s="289"/>
      <c r="I14" s="289"/>
      <c r="J14" s="183"/>
      <c r="K14" s="183"/>
      <c r="L14" s="183"/>
      <c r="M14" s="184"/>
      <c r="N14" s="185"/>
      <c r="O14" s="186"/>
      <c r="P14" s="187"/>
      <c r="Q14" s="188"/>
      <c r="R14" s="189"/>
    </row>
    <row r="15" spans="3:27" s="182" customFormat="1" ht="15" customHeight="1" x14ac:dyDescent="0.3">
      <c r="C15" s="174"/>
      <c r="J15" s="190"/>
      <c r="K15" s="308"/>
      <c r="L15" s="308"/>
      <c r="M15" s="184"/>
      <c r="N15" s="185"/>
      <c r="O15" s="186"/>
      <c r="P15" s="187"/>
      <c r="Q15" s="188"/>
      <c r="R15" s="189"/>
      <c r="X15" s="191"/>
      <c r="Y15" s="191"/>
      <c r="Z15" s="191"/>
      <c r="AA15" s="175"/>
    </row>
    <row r="16" spans="3:27" s="182" customFormat="1" ht="15" customHeight="1" x14ac:dyDescent="0.3">
      <c r="C16" s="192" t="s">
        <v>137</v>
      </c>
      <c r="D16" s="192"/>
      <c r="F16" s="192"/>
      <c r="J16" s="190"/>
      <c r="K16" s="183"/>
      <c r="L16" s="183"/>
      <c r="M16" s="184"/>
      <c r="N16" s="185"/>
      <c r="O16" s="186"/>
      <c r="P16" s="187"/>
      <c r="Q16" s="188"/>
      <c r="R16" s="189"/>
      <c r="X16" s="193"/>
      <c r="Y16" s="193"/>
      <c r="Z16" s="193"/>
    </row>
    <row r="17" spans="2:30" s="182" customFormat="1" ht="15" customHeight="1" x14ac:dyDescent="0.3">
      <c r="C17" s="194"/>
      <c r="D17" s="195" t="s">
        <v>44</v>
      </c>
      <c r="F17" s="195"/>
      <c r="K17" s="183"/>
      <c r="L17" s="183"/>
      <c r="M17" s="184"/>
      <c r="N17" s="185"/>
      <c r="O17" s="186"/>
      <c r="P17" s="187"/>
      <c r="Q17" s="188"/>
      <c r="R17" s="189"/>
      <c r="X17" s="193"/>
      <c r="Y17" s="193"/>
      <c r="Z17" s="193"/>
    </row>
    <row r="18" spans="2:30" s="182" customFormat="1" ht="15" customHeight="1" x14ac:dyDescent="0.3">
      <c r="C18" s="196"/>
      <c r="D18" s="195" t="s">
        <v>141</v>
      </c>
      <c r="F18" s="195"/>
      <c r="J18" s="183"/>
      <c r="K18" s="183"/>
      <c r="L18" s="183"/>
      <c r="M18" s="184"/>
      <c r="N18" s="185"/>
      <c r="O18" s="186"/>
      <c r="P18" s="187"/>
      <c r="Q18" s="188"/>
      <c r="R18" s="189"/>
      <c r="X18" s="193"/>
      <c r="Y18" s="193"/>
      <c r="Z18" s="193"/>
      <c r="AB18" s="286"/>
      <c r="AC18" s="286"/>
      <c r="AD18" s="190"/>
    </row>
    <row r="19" spans="2:30" s="182" customFormat="1" ht="15" customHeight="1" x14ac:dyDescent="0.3">
      <c r="J19" s="183"/>
      <c r="K19" s="183"/>
      <c r="L19" s="183"/>
      <c r="M19" s="184"/>
      <c r="N19" s="185"/>
      <c r="O19" s="186"/>
      <c r="P19" s="187"/>
      <c r="Q19" s="188"/>
      <c r="R19" s="189"/>
      <c r="X19" s="193"/>
      <c r="Y19" s="193"/>
      <c r="Z19" s="193"/>
      <c r="AB19" s="175"/>
      <c r="AC19" s="195"/>
      <c r="AD19" s="190"/>
    </row>
    <row r="20" spans="2:30" s="182" customFormat="1" ht="15" customHeight="1" x14ac:dyDescent="0.3">
      <c r="C20" s="198" t="s">
        <v>138</v>
      </c>
      <c r="D20" s="197"/>
      <c r="F20" s="197"/>
      <c r="J20" s="183"/>
      <c r="K20" s="183"/>
      <c r="L20" s="183"/>
      <c r="M20" s="184"/>
      <c r="N20" s="185"/>
      <c r="O20" s="186"/>
      <c r="P20" s="187"/>
      <c r="Q20" s="188"/>
      <c r="R20" s="189"/>
      <c r="X20" s="193"/>
      <c r="Y20" s="193"/>
      <c r="Z20" s="193"/>
      <c r="AB20" s="195"/>
    </row>
    <row r="21" spans="2:30" s="182" customFormat="1" ht="16.5" x14ac:dyDescent="0.3">
      <c r="C21" s="199"/>
      <c r="D21" s="195" t="s">
        <v>43</v>
      </c>
      <c r="F21" s="195"/>
      <c r="G21" s="200"/>
      <c r="H21" s="200"/>
      <c r="I21" s="200"/>
      <c r="J21" s="183"/>
      <c r="K21" s="183"/>
      <c r="L21" s="183"/>
      <c r="M21" s="184"/>
      <c r="N21" s="201"/>
      <c r="O21" s="202"/>
      <c r="P21" s="202"/>
      <c r="Q21" s="202"/>
      <c r="R21" s="202"/>
      <c r="S21" s="203"/>
      <c r="T21" s="203"/>
      <c r="U21" s="203"/>
      <c r="V21" s="175"/>
      <c r="Y21" s="175"/>
      <c r="Z21" s="195"/>
      <c r="AA21" s="175"/>
      <c r="AB21" s="195"/>
    </row>
    <row r="22" spans="2:30" s="182" customFormat="1" ht="15" customHeight="1" x14ac:dyDescent="0.3">
      <c r="C22" s="204"/>
      <c r="D22" s="195" t="s">
        <v>142</v>
      </c>
      <c r="F22" s="195"/>
      <c r="G22" s="200"/>
      <c r="H22" s="200"/>
      <c r="I22" s="200"/>
      <c r="J22" s="203"/>
      <c r="K22" s="203"/>
      <c r="L22" s="203"/>
      <c r="M22" s="184"/>
      <c r="N22" s="205"/>
      <c r="O22" s="206"/>
      <c r="P22" s="206"/>
      <c r="Q22" s="188"/>
      <c r="R22" s="206"/>
      <c r="S22" s="203"/>
      <c r="T22" s="203"/>
      <c r="U22" s="203"/>
      <c r="V22" s="175"/>
      <c r="AB22" s="175"/>
      <c r="AC22" s="175"/>
    </row>
    <row r="23" spans="2:30" s="182" customFormat="1" ht="15" customHeight="1" x14ac:dyDescent="0.3">
      <c r="C23" s="174"/>
      <c r="D23" s="175"/>
      <c r="E23" s="175"/>
      <c r="F23" s="175"/>
      <c r="G23" s="203"/>
      <c r="H23" s="203"/>
      <c r="I23" s="203"/>
      <c r="J23" s="183"/>
      <c r="K23" s="183"/>
      <c r="L23" s="183"/>
      <c r="M23" s="184"/>
      <c r="N23" s="207"/>
      <c r="O23" s="187"/>
      <c r="P23" s="187"/>
      <c r="Q23" s="188"/>
      <c r="R23" s="187"/>
      <c r="S23" s="203"/>
      <c r="T23" s="203"/>
      <c r="U23" s="203"/>
      <c r="V23" s="175"/>
      <c r="AB23" s="175"/>
      <c r="AC23" s="175"/>
    </row>
    <row r="24" spans="2:30" s="182" customFormat="1" ht="15" customHeight="1" x14ac:dyDescent="0.3">
      <c r="C24" s="174"/>
      <c r="D24" s="175"/>
      <c r="E24" s="175"/>
      <c r="F24" s="175"/>
      <c r="G24" s="203"/>
      <c r="H24" s="203"/>
      <c r="I24" s="203"/>
      <c r="J24" s="183"/>
      <c r="K24" s="183"/>
      <c r="L24" s="183"/>
      <c r="M24" s="184"/>
      <c r="N24" s="207"/>
      <c r="O24" s="187"/>
      <c r="P24" s="187"/>
      <c r="Q24" s="188"/>
      <c r="R24" s="187"/>
      <c r="S24" s="203"/>
      <c r="T24" s="203"/>
      <c r="U24" s="203"/>
      <c r="V24" s="175"/>
      <c r="AB24" s="175"/>
      <c r="AC24" s="175"/>
    </row>
    <row r="25" spans="2:30" s="182" customFormat="1" ht="15" customHeight="1" x14ac:dyDescent="0.3">
      <c r="C25" s="174"/>
      <c r="D25" s="175"/>
      <c r="E25" s="175"/>
      <c r="F25" s="175"/>
      <c r="G25" s="203"/>
      <c r="H25" s="203"/>
      <c r="I25" s="203"/>
      <c r="J25" s="183"/>
      <c r="K25" s="183"/>
      <c r="L25" s="183"/>
      <c r="M25" s="184"/>
      <c r="N25" s="207"/>
      <c r="O25" s="187"/>
      <c r="P25" s="187"/>
      <c r="Q25" s="188"/>
      <c r="R25" s="187"/>
      <c r="S25" s="203"/>
      <c r="T25" s="203"/>
      <c r="U25" s="203"/>
      <c r="V25" s="175"/>
      <c r="AB25" s="175"/>
      <c r="AC25" s="175"/>
    </row>
    <row r="26" spans="2:30" s="36" customFormat="1" ht="15" customHeight="1" thickBot="1" x14ac:dyDescent="0.35">
      <c r="C26" s="213"/>
      <c r="D26" s="35"/>
      <c r="E26" s="35"/>
      <c r="F26" s="35"/>
      <c r="G26" s="295" t="s">
        <v>153</v>
      </c>
      <c r="H26" s="295"/>
      <c r="I26" s="295"/>
      <c r="J26" s="214"/>
      <c r="K26" s="295" t="s">
        <v>154</v>
      </c>
      <c r="L26" s="295"/>
      <c r="M26" s="295"/>
      <c r="N26" s="215"/>
      <c r="O26" s="295" t="s">
        <v>155</v>
      </c>
      <c r="P26" s="295"/>
      <c r="Q26" s="295"/>
      <c r="R26" s="216"/>
      <c r="S26" s="295" t="s">
        <v>157</v>
      </c>
      <c r="T26" s="295"/>
      <c r="U26" s="295"/>
      <c r="V26" s="35"/>
      <c r="AB26" s="35"/>
      <c r="AC26" s="35"/>
    </row>
    <row r="27" spans="2:30" s="36" customFormat="1" ht="7.5" customHeight="1" thickTop="1" thickBot="1" x14ac:dyDescent="0.35">
      <c r="C27" s="213"/>
      <c r="D27" s="35"/>
      <c r="E27" s="35"/>
      <c r="F27" s="35"/>
      <c r="G27" s="217"/>
      <c r="H27" s="218"/>
      <c r="I27" s="219"/>
      <c r="J27" s="35"/>
      <c r="K27" s="219"/>
      <c r="L27" s="220"/>
      <c r="M27" s="219"/>
      <c r="N27" s="221"/>
      <c r="O27" s="219"/>
      <c r="P27" s="221"/>
      <c r="Q27" s="219"/>
      <c r="R27" s="221"/>
      <c r="S27" s="219"/>
      <c r="T27" s="221"/>
      <c r="U27" s="219"/>
      <c r="V27" s="35"/>
      <c r="W27" s="222"/>
      <c r="X27" s="222"/>
      <c r="Y27" s="35"/>
      <c r="Z27" s="35"/>
      <c r="AA27" s="35"/>
      <c r="AB27" s="35"/>
      <c r="AC27" s="35"/>
    </row>
    <row r="28" spans="2:30" s="223" customFormat="1" ht="11.5" thickTop="1" thickBot="1" x14ac:dyDescent="0.3">
      <c r="D28" s="224"/>
      <c r="E28" s="224"/>
      <c r="F28" s="224"/>
      <c r="G28" s="225" t="s">
        <v>148</v>
      </c>
      <c r="H28" s="226"/>
      <c r="I28" s="225" t="s">
        <v>149</v>
      </c>
      <c r="J28" s="224"/>
      <c r="K28" s="225" t="s">
        <v>148</v>
      </c>
      <c r="L28" s="224"/>
      <c r="M28" s="225" t="s">
        <v>149</v>
      </c>
      <c r="N28" s="227"/>
      <c r="O28" s="225" t="s">
        <v>148</v>
      </c>
      <c r="P28" s="228"/>
      <c r="Q28" s="225" t="s">
        <v>149</v>
      </c>
      <c r="R28" s="228"/>
      <c r="S28" s="225" t="s">
        <v>148</v>
      </c>
      <c r="T28" s="224"/>
      <c r="U28" s="225" t="s">
        <v>149</v>
      </c>
      <c r="V28" s="224"/>
      <c r="AB28" s="224"/>
      <c r="AC28" s="224"/>
    </row>
    <row r="29" spans="2:30" s="36" customFormat="1" ht="21.75" customHeight="1" thickTop="1" x14ac:dyDescent="0.3">
      <c r="B29" s="300" t="s">
        <v>151</v>
      </c>
      <c r="C29" s="301"/>
      <c r="D29" s="290" t="s">
        <v>44</v>
      </c>
      <c r="E29" s="290"/>
      <c r="F29" s="229"/>
      <c r="G29" s="230">
        <f ca="1">Working!D24</f>
        <v>0</v>
      </c>
      <c r="H29" s="231"/>
      <c r="I29" s="232">
        <f ca="1">Working!D29</f>
        <v>0</v>
      </c>
      <c r="J29" s="233"/>
      <c r="K29" s="234">
        <f ca="1">Working!D26</f>
        <v>0</v>
      </c>
      <c r="L29" s="235"/>
      <c r="M29" s="234">
        <f ca="1">Working!D31</f>
        <v>0</v>
      </c>
      <c r="N29" s="236"/>
      <c r="O29" s="234">
        <f ca="1">Working!D27</f>
        <v>0</v>
      </c>
      <c r="P29" s="237"/>
      <c r="Q29" s="234">
        <f ca="1">Working!D32</f>
        <v>0</v>
      </c>
      <c r="R29" s="237"/>
      <c r="S29" s="238">
        <f ca="1">O29+K29</f>
        <v>0</v>
      </c>
      <c r="T29" s="231"/>
      <c r="U29" s="238">
        <f ca="1">Q29+M29</f>
        <v>0</v>
      </c>
      <c r="V29" s="35"/>
      <c r="AB29" s="35"/>
      <c r="AC29" s="35"/>
    </row>
    <row r="30" spans="2:30" s="36" customFormat="1" ht="21.75" customHeight="1" thickBot="1" x14ac:dyDescent="0.35">
      <c r="B30" s="302"/>
      <c r="C30" s="303"/>
      <c r="D30" s="291" t="s">
        <v>43</v>
      </c>
      <c r="E30" s="292"/>
      <c r="F30" s="229"/>
      <c r="G30" s="239">
        <f ca="1">Working!C24</f>
        <v>0.7857142857142857</v>
      </c>
      <c r="H30" s="231"/>
      <c r="I30" s="240">
        <f ca="1">Working!C29</f>
        <v>0.11224489795918367</v>
      </c>
      <c r="J30" s="233"/>
      <c r="K30" s="241">
        <f ca="1">Working!C26</f>
        <v>0.17333002645502643</v>
      </c>
      <c r="L30" s="242"/>
      <c r="M30" s="241">
        <f ca="1">Working!C31</f>
        <v>2.4761432350718066E-2</v>
      </c>
      <c r="N30" s="243"/>
      <c r="O30" s="241">
        <f ca="1">Working!C27</f>
        <v>0.16369047619047619</v>
      </c>
      <c r="P30" s="244"/>
      <c r="Q30" s="241">
        <f ca="1">Working!C32</f>
        <v>2.33843537414966E-2</v>
      </c>
      <c r="R30" s="244"/>
      <c r="S30" s="241">
        <f ca="1">O30+K30</f>
        <v>0.33702050264550265</v>
      </c>
      <c r="T30" s="231"/>
      <c r="U30" s="241">
        <f ca="1">Q30+M30</f>
        <v>4.8145786092214662E-2</v>
      </c>
      <c r="V30" s="35"/>
      <c r="AB30" s="35"/>
      <c r="AC30" s="35"/>
    </row>
    <row r="31" spans="2:30" s="35" customFormat="1" ht="15.65" customHeight="1" thickTop="1" thickBot="1" x14ac:dyDescent="0.35">
      <c r="B31" s="304"/>
      <c r="C31" s="305"/>
      <c r="D31" s="293" t="s">
        <v>64</v>
      </c>
      <c r="E31" s="293"/>
      <c r="F31" s="229"/>
      <c r="G31" s="296">
        <f ca="1">Working!E24</f>
        <v>-1</v>
      </c>
      <c r="H31" s="297"/>
      <c r="I31" s="298"/>
      <c r="J31" s="245"/>
      <c r="K31" s="296">
        <f ca="1">Working!E26</f>
        <v>-1</v>
      </c>
      <c r="L31" s="297"/>
      <c r="M31" s="298"/>
      <c r="N31" s="246"/>
      <c r="O31" s="296">
        <f ca="1">Working!E27</f>
        <v>-1</v>
      </c>
      <c r="P31" s="297"/>
      <c r="Q31" s="298"/>
      <c r="R31" s="216"/>
      <c r="S31" s="296">
        <f ca="1">Working!E25</f>
        <v>-1</v>
      </c>
      <c r="T31" s="297"/>
      <c r="U31" s="298"/>
    </row>
    <row r="32" spans="2:30" s="35" customFormat="1" ht="15" customHeight="1" thickTop="1" thickBot="1" x14ac:dyDescent="0.35">
      <c r="B32" s="306" t="s">
        <v>150</v>
      </c>
      <c r="C32" s="307"/>
      <c r="D32" s="294" t="s">
        <v>47</v>
      </c>
      <c r="E32" s="294"/>
      <c r="F32" s="229"/>
      <c r="G32" s="247">
        <f ca="1">Working!F24</f>
        <v>0.94672131147540994</v>
      </c>
      <c r="H32" s="248"/>
      <c r="I32" s="247">
        <f ca="1">Working!F29</f>
        <v>0.13524590163934427</v>
      </c>
      <c r="J32" s="231"/>
      <c r="K32" s="249">
        <f ca="1">Working!F26</f>
        <v>0.20884847449908928</v>
      </c>
      <c r="L32" s="242"/>
      <c r="M32" s="249">
        <f ca="1">Working!F31</f>
        <v>2.9835496357012749E-2</v>
      </c>
      <c r="N32" s="250"/>
      <c r="O32" s="249">
        <f ca="1">Working!F27</f>
        <v>0.19723360655737707</v>
      </c>
      <c r="P32" s="251"/>
      <c r="Q32" s="249">
        <f ca="1">Working!F32</f>
        <v>2.8176229508196721E-2</v>
      </c>
      <c r="R32" s="251"/>
      <c r="S32" s="249">
        <f ca="1">O32+K32</f>
        <v>0.40608208105646637</v>
      </c>
      <c r="T32" s="231"/>
      <c r="U32" s="249">
        <f ca="1">Q32+M32</f>
        <v>5.8011725865209474E-2</v>
      </c>
    </row>
    <row r="33" spans="2:21" s="35" customFormat="1" ht="15" customHeight="1" thickTop="1" thickBot="1" x14ac:dyDescent="0.35">
      <c r="B33" s="306"/>
      <c r="C33" s="307"/>
      <c r="D33" s="287" t="s">
        <v>108</v>
      </c>
      <c r="E33" s="288"/>
      <c r="F33" s="229"/>
      <c r="G33" s="296" t="str">
        <f ca="1">Working!G24</f>
        <v>+100%</v>
      </c>
      <c r="H33" s="297"/>
      <c r="I33" s="298"/>
      <c r="K33" s="296" t="str">
        <f ca="1">Working!G26</f>
        <v>+100%</v>
      </c>
      <c r="L33" s="297"/>
      <c r="M33" s="298"/>
      <c r="N33" s="246"/>
      <c r="O33" s="296" t="str">
        <f ca="1">Working!G27</f>
        <v>+100%</v>
      </c>
      <c r="P33" s="297"/>
      <c r="Q33" s="298"/>
      <c r="R33" s="216"/>
      <c r="S33" s="296" t="str">
        <f ca="1">Working!G25</f>
        <v>+100%</v>
      </c>
      <c r="T33" s="297"/>
      <c r="U33" s="298"/>
    </row>
    <row r="34" spans="2:21" ht="14.5" thickTop="1" x14ac:dyDescent="0.3">
      <c r="D34" s="208"/>
      <c r="E34" s="208"/>
      <c r="F34" s="208"/>
      <c r="G34" s="208"/>
      <c r="H34" s="208"/>
      <c r="I34" s="208"/>
      <c r="N34" s="209"/>
      <c r="O34" s="187"/>
      <c r="P34" s="187"/>
      <c r="Q34" s="188"/>
      <c r="R34" s="187"/>
    </row>
    <row r="35" spans="2:21" x14ac:dyDescent="0.3">
      <c r="B35" s="175" t="s">
        <v>192</v>
      </c>
      <c r="D35" s="208"/>
      <c r="E35" s="208"/>
      <c r="F35" s="208"/>
      <c r="G35" s="208"/>
      <c r="H35" s="208"/>
      <c r="I35" s="208"/>
      <c r="N35" s="209"/>
      <c r="O35" s="187"/>
      <c r="P35" s="187"/>
      <c r="Q35" s="188"/>
      <c r="R35" s="187"/>
    </row>
    <row r="36" spans="2:21" ht="15" customHeight="1" x14ac:dyDescent="0.3">
      <c r="J36" s="210"/>
      <c r="K36" s="208"/>
      <c r="N36" s="209"/>
      <c r="O36" s="187"/>
      <c r="P36" s="187"/>
      <c r="Q36" s="188"/>
      <c r="R36" s="187"/>
    </row>
    <row r="37" spans="2:21" ht="15" customHeight="1" x14ac:dyDescent="0.3"/>
    <row r="38" spans="2:21" ht="15" customHeight="1" x14ac:dyDescent="0.3"/>
    <row r="39" spans="2:21" ht="15" customHeight="1" x14ac:dyDescent="0.3">
      <c r="O39" s="211"/>
      <c r="Q39" s="212"/>
    </row>
    <row r="40" spans="2:21" ht="15" customHeight="1" x14ac:dyDescent="0.3"/>
    <row r="45" spans="2:21" ht="15" customHeight="1" x14ac:dyDescent="0.3"/>
  </sheetData>
  <sheetProtection algorithmName="SHA-512" hashValue="sKM8Hq0sho3+gX+vcQ3uN5UKPt1yKn9wmk/LioPG+y1aW1MHfs0pmb8bDT3gV0OV68OiCGKntHtjKDK2rTX1kQ==" saltValue="PsWHP3FSqf7xOuKs+PhveQ==" spinCount="100000" sheet="1" selectLockedCells="1" autoFilter="0" pivotTables="0"/>
  <mergeCells count="25">
    <mergeCell ref="O33:Q33"/>
    <mergeCell ref="S7:V12"/>
    <mergeCell ref="B29:C31"/>
    <mergeCell ref="B32:C33"/>
    <mergeCell ref="K15:L15"/>
    <mergeCell ref="G31:I31"/>
    <mergeCell ref="M7:P7"/>
    <mergeCell ref="S31:U31"/>
    <mergeCell ref="S33:U33"/>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s>
  <conditionalFormatting sqref="G31">
    <cfRule type="cellIs" dxfId="49" priority="21" operator="greaterThanOrEqual">
      <formula>0.0001</formula>
    </cfRule>
    <cfRule type="cellIs" dxfId="48" priority="22" operator="lessThan">
      <formula>0</formula>
    </cfRule>
  </conditionalFormatting>
  <conditionalFormatting sqref="G33">
    <cfRule type="cellIs" dxfId="47" priority="7" operator="lessThan">
      <formula>0</formula>
    </cfRule>
    <cfRule type="cellIs" dxfId="46" priority="8" operator="greaterThanOrEqual">
      <formula>0.00001</formula>
    </cfRule>
  </conditionalFormatting>
  <conditionalFormatting sqref="K31">
    <cfRule type="cellIs" dxfId="45" priority="13" operator="greaterThanOrEqual">
      <formula>0.0001</formula>
    </cfRule>
    <cfRule type="cellIs" dxfId="44" priority="14" operator="lessThan">
      <formula>0</formula>
    </cfRule>
  </conditionalFormatting>
  <conditionalFormatting sqref="K33">
    <cfRule type="cellIs" dxfId="43" priority="5" operator="lessThan">
      <formula>0</formula>
    </cfRule>
    <cfRule type="cellIs" dxfId="42" priority="6" operator="greaterThanOrEqual">
      <formula>0.00001</formula>
    </cfRule>
  </conditionalFormatting>
  <conditionalFormatting sqref="O31">
    <cfRule type="cellIs" dxfId="41" priority="11" operator="greaterThanOrEqual">
      <formula>0.0001</formula>
    </cfRule>
    <cfRule type="cellIs" dxfId="40" priority="12" operator="lessThan">
      <formula>0</formula>
    </cfRule>
  </conditionalFormatting>
  <conditionalFormatting sqref="O33">
    <cfRule type="cellIs" dxfId="39" priority="3" operator="lessThan">
      <formula>0</formula>
    </cfRule>
    <cfRule type="cellIs" dxfId="38" priority="4" operator="greaterThanOrEqual">
      <formula>0.00001</formula>
    </cfRule>
  </conditionalFormatting>
  <conditionalFormatting sqref="S31">
    <cfRule type="cellIs" dxfId="37" priority="9" operator="greaterThanOrEqual">
      <formula>0.0001</formula>
    </cfRule>
    <cfRule type="cellIs" dxfId="36" priority="10" operator="lessThan">
      <formula>0</formula>
    </cfRule>
  </conditionalFormatting>
  <conditionalFormatting sqref="S33">
    <cfRule type="cellIs" dxfId="35" priority="1" operator="lessThan">
      <formula>0</formula>
    </cfRule>
    <cfRule type="cellIs" dxfId="34" priority="2" operator="greaterThanOrEqual">
      <formula>0.00001</formula>
    </cfRule>
  </conditionalFormatting>
  <dataValidations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zoomScale="70" zoomScaleNormal="70" workbookViewId="0">
      <selection activeCell="C8" sqref="C8"/>
    </sheetView>
  </sheetViews>
  <sheetFormatPr defaultColWidth="8.7265625" defaultRowHeight="14" x14ac:dyDescent="0.3"/>
  <cols>
    <col min="1" max="1" width="8.7265625" style="81"/>
    <col min="2" max="2" width="13.36328125" style="81" bestFit="1" customWidth="1"/>
    <col min="3" max="3" width="20.6328125" style="81" bestFit="1" customWidth="1"/>
    <col min="4" max="4" width="22.81640625" style="81" customWidth="1"/>
    <col min="5" max="5" width="22.453125" style="81" customWidth="1"/>
    <col min="6" max="6" width="9.54296875" style="81" customWidth="1"/>
    <col min="7" max="7" width="15.81640625" style="81" customWidth="1"/>
    <col min="8" max="8" width="10.26953125" style="81" customWidth="1"/>
    <col min="9" max="9" width="8.7265625" style="81"/>
    <col min="10" max="10" width="15.54296875" style="81" bestFit="1" customWidth="1"/>
    <col min="11" max="11" width="24.81640625" style="104" bestFit="1" customWidth="1"/>
    <col min="12" max="13" width="9.1796875" style="104"/>
    <col min="14" max="14" width="26.7265625" style="81" bestFit="1" customWidth="1"/>
    <col min="15" max="16384" width="8.7265625" style="81"/>
  </cols>
  <sheetData>
    <row r="2" spans="2:14" x14ac:dyDescent="0.3">
      <c r="B2" s="80" t="s">
        <v>127</v>
      </c>
      <c r="C2" s="80"/>
      <c r="E2" s="82" t="s">
        <v>53</v>
      </c>
      <c r="F2" s="82" t="s">
        <v>55</v>
      </c>
      <c r="G2" s="82" t="s">
        <v>58</v>
      </c>
      <c r="H2" s="82" t="s">
        <v>57</v>
      </c>
      <c r="I2" s="82" t="s">
        <v>54</v>
      </c>
      <c r="J2" s="82" t="s">
        <v>56</v>
      </c>
      <c r="K2" s="83" t="s">
        <v>52</v>
      </c>
      <c r="L2" s="81"/>
      <c r="M2" s="81"/>
    </row>
    <row r="3" spans="2:14" ht="15.5" x14ac:dyDescent="0.3">
      <c r="B3" s="84" t="s">
        <v>62</v>
      </c>
      <c r="C3" s="15">
        <f>'⏱ Input'!T4</f>
        <v>7.2798611111111109</v>
      </c>
      <c r="D3" s="85"/>
      <c r="E3" s="86">
        <f>'📝 Instructions'!F8</f>
        <v>45295</v>
      </c>
      <c r="F3" s="87">
        <v>1</v>
      </c>
      <c r="G3" s="87">
        <f>Table134[[#This Row],[Diff %]]</f>
        <v>0</v>
      </c>
      <c r="H3" s="88">
        <v>0</v>
      </c>
      <c r="I3" s="89">
        <f>Table134[[#This Row],[Difference]]/$F$7</f>
        <v>3.1250000000000002E-3</v>
      </c>
      <c r="J3" s="89"/>
      <c r="K3" s="90" t="str">
        <f>"Start "&amp;CHAR(10)&amp;TEXT(Table134[[#This Row],[YEAR]],"dd-mmm-yy")</f>
        <v>Start 
04-Jan-24</v>
      </c>
      <c r="L3" s="81"/>
      <c r="M3" s="81"/>
    </row>
    <row r="4" spans="2:14" ht="15.5" x14ac:dyDescent="0.3">
      <c r="B4" s="84" t="s">
        <v>129</v>
      </c>
      <c r="C4" s="15">
        <f>('📊 Summary'!I10*'⏱ Input'!V4)/24</f>
        <v>6.875</v>
      </c>
      <c r="D4" s="85"/>
      <c r="E4" s="86">
        <f ca="1">TODAY()</f>
        <v>45345</v>
      </c>
      <c r="F4" s="87">
        <f ca="1">Table134[[#This Row],[YEAR]]-$E$3</f>
        <v>50</v>
      </c>
      <c r="G4" s="87">
        <f ca="1">Table134[[#This Row],[Diff %]]</f>
        <v>0.15312500000000001</v>
      </c>
      <c r="H4" s="88">
        <f ca="1">Table134[[#This Row],[%]]-I3</f>
        <v>0.15312500000000001</v>
      </c>
      <c r="I4" s="89">
        <f ca="1">Table134[[#This Row],[Difference]]/$F$7</f>
        <v>0.15625</v>
      </c>
      <c r="J4" s="91" t="str">
        <f ca="1">Table134[[#This Row],[YEAR]]-E3&amp;" days over"</f>
        <v>50 days over</v>
      </c>
      <c r="K4" s="90" t="str">
        <f ca="1">"Today "&amp;TEXT(Table134[[#This Row],[YEAR]],"dd-mmm-yy")</f>
        <v>Today 23-Feb-24</v>
      </c>
      <c r="L4" s="81"/>
      <c r="M4" s="81"/>
    </row>
    <row r="5" spans="2:14" ht="15.5" x14ac:dyDescent="0.3">
      <c r="B5" s="78" t="s">
        <v>63</v>
      </c>
      <c r="C5" s="15">
        <f>SUM(C3:C4)</f>
        <v>14.15486111111111</v>
      </c>
      <c r="D5" s="85"/>
      <c r="E5" s="86">
        <f>E6-'📊 Summary'!I12</f>
        <v>45589</v>
      </c>
      <c r="F5" s="87">
        <f>Table134[[#This Row],[YEAR]]-$E$3</f>
        <v>294</v>
      </c>
      <c r="G5" s="87">
        <f ca="1">Table134[[#This Row],[Diff %]]</f>
        <v>0.76249999999999996</v>
      </c>
      <c r="H5" s="88">
        <f ca="1">Table134[[#This Row],[%]]-I4</f>
        <v>0.76249999999999996</v>
      </c>
      <c r="I5" s="89">
        <f>Table134[[#This Row],[Difference]]/$F$7</f>
        <v>0.91874999999999996</v>
      </c>
      <c r="J5" s="91" t="str">
        <f ca="1">IF(E4&gt;Table134[[#This Row],[YEAR]],Table134[[#This Row],[YEAR]]-E3,Table134[[#This Row],[YEAR]]-E4)&amp;" study days left"</f>
        <v>244 study days left</v>
      </c>
      <c r="K5" s="90" t="str">
        <f>"Lecture Completed "&amp;TEXT(Table134[[#This Row],[YEAR]],"dd-mmm-yy")</f>
        <v>Lecture Completed 24-Oct-24</v>
      </c>
      <c r="L5" s="81"/>
      <c r="M5" s="81"/>
    </row>
    <row r="6" spans="2:14" ht="15.5" x14ac:dyDescent="0.3">
      <c r="B6" s="78" t="s">
        <v>128</v>
      </c>
      <c r="C6" s="120">
        <f>C5/(((('📊 Summary'!I8*5)+('📊 Summary'!I9*2))/24)/7)</f>
        <v>83.439181286549697</v>
      </c>
      <c r="D6" s="92"/>
      <c r="E6" s="86">
        <f>E7-'📊 Summary'!I11</f>
        <v>45594</v>
      </c>
      <c r="F6" s="87">
        <f>Table134[[#This Row],[YEAR]]-$E$3</f>
        <v>299</v>
      </c>
      <c r="G6" s="87">
        <f>Table134[[#This Row],[Diff %]]</f>
        <v>1.5625E-2</v>
      </c>
      <c r="H6" s="88">
        <f>Table134[[#This Row],[%]]-I5</f>
        <v>1.5625E-2</v>
      </c>
      <c r="I6" s="89">
        <f>Table134[[#This Row],[Difference]]/$F$7</f>
        <v>0.93437499999999996</v>
      </c>
      <c r="J6" s="91" t="str">
        <f>Table134[[#This Row],[YEAR]]-E5&amp;"  buffer days"</f>
        <v>5  buffer days</v>
      </c>
      <c r="K6" s="90" t="str">
        <f>"Start Revision "&amp;TEXT(Table134[[#This Row],[YEAR]],"dd-mmm-yy")</f>
        <v>Start Revision 29-Oct-24</v>
      </c>
      <c r="L6" s="81"/>
      <c r="M6" s="81"/>
    </row>
    <row r="7" spans="2:14" x14ac:dyDescent="0.3">
      <c r="E7" s="86">
        <f>'📝 Instructions'!F9</f>
        <v>45615</v>
      </c>
      <c r="F7" s="87">
        <f>Table134[[#This Row],[YEAR]]-$E$3</f>
        <v>320</v>
      </c>
      <c r="G7" s="87">
        <f>Table134[[#This Row],[Diff %]]</f>
        <v>6.5625000000000044E-2</v>
      </c>
      <c r="H7" s="88">
        <f>Table134[[#This Row],[%]]-I6</f>
        <v>6.5625000000000044E-2</v>
      </c>
      <c r="I7" s="89">
        <f>Table134[[#This Row],[Difference]]/$F$7</f>
        <v>1</v>
      </c>
      <c r="J7" s="91" t="str">
        <f>Table134[[#This Row],[YEAR]]-E6&amp;" revision days"</f>
        <v>21 revision days</v>
      </c>
      <c r="K7" s="90" t="str">
        <f>"Exam "&amp;TEXT(Table134[[#This Row],[YEAR]],"dd-mmm-yy")</f>
        <v>Exam 19-Nov-24</v>
      </c>
      <c r="L7" s="81"/>
      <c r="M7" s="81"/>
    </row>
    <row r="8" spans="2:14" ht="15.5" x14ac:dyDescent="0.3">
      <c r="B8" s="81" t="s">
        <v>131</v>
      </c>
      <c r="C8" s="15">
        <f ca="1">('⏱ Input'!T4-'⏱ Input'!T5)/F17</f>
        <v>0.20884847449908928</v>
      </c>
      <c r="E8" s="93"/>
      <c r="F8" s="94"/>
      <c r="G8" s="94"/>
      <c r="H8" s="95">
        <f ca="1">SUBTOTAL(109,Table134[Diff %])</f>
        <v>0.99687499999999996</v>
      </c>
      <c r="I8" s="96"/>
      <c r="J8" s="97"/>
      <c r="K8" s="98"/>
      <c r="L8" s="81"/>
      <c r="M8" s="81"/>
    </row>
    <row r="9" spans="2:14" ht="18" x14ac:dyDescent="0.3">
      <c r="C9" s="99"/>
      <c r="E9" s="100"/>
      <c r="F9" s="101"/>
      <c r="G9" s="101"/>
      <c r="H9" s="102"/>
      <c r="I9" s="103"/>
      <c r="J9" s="104"/>
      <c r="K9" s="81"/>
      <c r="L9" s="81"/>
      <c r="M9" s="81"/>
    </row>
    <row r="10" spans="2:14" ht="46.5" x14ac:dyDescent="0.3">
      <c r="B10" s="76" t="s">
        <v>42</v>
      </c>
      <c r="C10" s="77">
        <f ca="1">'📝 Instructions'!F9-TODAY()</f>
        <v>270</v>
      </c>
      <c r="E10" s="100"/>
      <c r="F10" s="101"/>
      <c r="G10" s="101"/>
      <c r="H10" s="102"/>
      <c r="I10" s="103"/>
      <c r="J10" s="104"/>
      <c r="K10" s="81"/>
      <c r="L10" s="81"/>
      <c r="M10" s="81"/>
    </row>
    <row r="11" spans="2:14" ht="15.5" x14ac:dyDescent="0.3">
      <c r="B11" s="78" t="s">
        <v>59</v>
      </c>
      <c r="C11" s="77">
        <f ca="1">IF(C10&lt;SUM('📊 Summary'!I11:I12),0,C10-'📊 Summary'!I11-'📊 Summary'!I12)</f>
        <v>244</v>
      </c>
      <c r="E11" s="100"/>
      <c r="F11" s="101"/>
      <c r="G11" s="101"/>
      <c r="H11" s="102"/>
      <c r="I11" s="103"/>
      <c r="J11" s="104"/>
      <c r="K11" s="81"/>
      <c r="L11" s="81"/>
      <c r="M11" s="81"/>
    </row>
    <row r="12" spans="2:14" ht="15.5" x14ac:dyDescent="0.3">
      <c r="B12" s="78" t="s">
        <v>49</v>
      </c>
      <c r="C12" s="79">
        <f>((('📊 Summary'!I8*5)+('📊 Summary'!I9*2))/7)*F21</f>
        <v>29.63943452380952</v>
      </c>
      <c r="E12" s="100"/>
      <c r="F12" s="101"/>
      <c r="G12" s="101"/>
      <c r="H12" s="102"/>
      <c r="I12" s="103"/>
      <c r="J12" s="104"/>
      <c r="K12" s="81"/>
      <c r="L12" s="81"/>
      <c r="M12" s="81"/>
    </row>
    <row r="14" spans="2:14" ht="15.5" x14ac:dyDescent="0.3">
      <c r="B14" s="310"/>
      <c r="C14" s="311" t="s">
        <v>48</v>
      </c>
      <c r="D14" s="311"/>
      <c r="E14" s="311"/>
      <c r="F14" s="105" t="s">
        <v>46</v>
      </c>
      <c r="G14" s="106"/>
    </row>
    <row r="15" spans="2:14" ht="15.5" x14ac:dyDescent="0.3">
      <c r="B15" s="310"/>
      <c r="C15" s="106" t="s">
        <v>43</v>
      </c>
      <c r="D15" s="106" t="s">
        <v>44</v>
      </c>
      <c r="E15" s="106" t="s">
        <v>64</v>
      </c>
      <c r="F15" s="106" t="s">
        <v>47</v>
      </c>
      <c r="G15" s="106" t="s">
        <v>108</v>
      </c>
      <c r="K15" s="81"/>
      <c r="N15" s="104"/>
    </row>
    <row r="16" spans="2:14" ht="31" x14ac:dyDescent="0.3">
      <c r="B16" s="107" t="s">
        <v>51</v>
      </c>
      <c r="C16" s="108">
        <f ca="1">('⏱ Input'!V4/('📝 Instructions'!F9-'📝 Instructions'!F8-'📊 Summary'!I11-'📊 Summary'!I12))*(TODAY()-'📝 Instructions'!F8)</f>
        <v>5.6122448979591839</v>
      </c>
      <c r="D16" s="108">
        <f>SUMIFS(Master_Data[No. of Chapters],Master_Data[Lectures],"d",Master_Data[Self Study],"d")</f>
        <v>0</v>
      </c>
      <c r="E16" s="20">
        <f ca="1">IF((D16-C16)/C16&gt;0,"+"&amp;ROUND(((D16-C16)/C16)*100,0)&amp;"%",ROUND(((D16-C16)/C16),2))</f>
        <v>-1</v>
      </c>
      <c r="F16" s="108">
        <f>SUMIFS(Master_Data[No. of Chapters],Master_Data[Lectures],"U",Master_Data[Self Study],"U")</f>
        <v>33</v>
      </c>
      <c r="G16" s="19" t="str">
        <f>IFERROR(IF((F16-D16)/F16&gt;0,"+"&amp;ROUND(((F16-D16)/F16)*100,0)&amp;"%",ROUND(((F16-D16)/F16),2)),"-")</f>
        <v>+100%</v>
      </c>
      <c r="H16" s="127"/>
      <c r="K16" s="81"/>
      <c r="N16" s="104"/>
    </row>
    <row r="17" spans="2:14" ht="31" x14ac:dyDescent="0.3">
      <c r="B17" s="107" t="s">
        <v>81</v>
      </c>
      <c r="C17" s="74">
        <f ca="1">C18/7</f>
        <v>7.1428571428571432</v>
      </c>
      <c r="D17" s="74">
        <f ca="1">D18/7</f>
        <v>7.1428571428571432</v>
      </c>
      <c r="E17" s="20"/>
      <c r="F17" s="253">
        <f ca="1">F18/7</f>
        <v>34.857142857142854</v>
      </c>
      <c r="G17" s="19"/>
      <c r="K17" s="81"/>
      <c r="N17" s="104"/>
    </row>
    <row r="18" spans="2:14" ht="31" x14ac:dyDescent="0.3">
      <c r="B18" s="107" t="s">
        <v>82</v>
      </c>
      <c r="C18" s="75">
        <f ca="1">TODAY()-'📝 Instructions'!F8</f>
        <v>50</v>
      </c>
      <c r="D18" s="75">
        <f ca="1">TODAY()-'📝 Instructions'!F8</f>
        <v>50</v>
      </c>
      <c r="E18" s="20"/>
      <c r="F18" s="254">
        <f ca="1">IF(C10&lt;SUM('📊 Summary'!I11:I12),0,Working!C10-'📊 Summary'!I11-'📊 Summary'!I12)</f>
        <v>244</v>
      </c>
      <c r="G18" s="19"/>
      <c r="K18" s="81"/>
      <c r="N18" s="104"/>
    </row>
    <row r="19" spans="2:14" ht="46.5" x14ac:dyDescent="0.3">
      <c r="B19" s="107" t="s">
        <v>75</v>
      </c>
      <c r="C19" s="15">
        <f ca="1">((('📊 Summary'!$I$8*5)+('📊 Summary'!$I$9*2))/24)*Working!C17</f>
        <v>8.4821428571428577</v>
      </c>
      <c r="D19" s="15">
        <f ca="1">((('📊 Summary'!$I$8*5)+('📊 Summary'!$I$9*2))/24)*Working!D17</f>
        <v>8.4821428571428577</v>
      </c>
      <c r="E19" s="20"/>
      <c r="F19" s="15">
        <f ca="1">((('📊 Summary'!$I$8*5)+('📊 Summary'!$I$9*2))/24)*Working!F17</f>
        <v>41.392857142857139</v>
      </c>
      <c r="G19" s="19"/>
      <c r="K19" s="81"/>
      <c r="N19" s="104"/>
    </row>
    <row r="20" spans="2:14" ht="46.5" x14ac:dyDescent="0.3">
      <c r="B20" s="109" t="s">
        <v>76</v>
      </c>
      <c r="C20" s="9">
        <f ca="1">C21+C22</f>
        <v>2.4072893046107335</v>
      </c>
      <c r="D20" s="9">
        <f>D21+D22</f>
        <v>0</v>
      </c>
      <c r="E20" s="20">
        <f t="shared" ref="E20:E22" ca="1" si="0">IF((D20-C20)/C20&gt;0,"+"&amp;ROUND(((D20-C20)/C20)*100,0)&amp;"%",ROUND(((D20-C20)/C20),2))</f>
        <v>-1</v>
      </c>
      <c r="F20" s="9">
        <f>F21+F22</f>
        <v>14.15486111111111</v>
      </c>
      <c r="G20" s="19" t="str">
        <f t="shared" ref="G20:G22" si="1">IFERROR(IF((F20-D20)/F20&gt;0,"+"&amp;ROUND(((F20-D20)/F20)*100,0)&amp;"%",ROUND(((F20-D20)/F20),2)),"-")</f>
        <v>+100%</v>
      </c>
    </row>
    <row r="21" spans="2:14" ht="31" x14ac:dyDescent="0.3">
      <c r="B21" s="110" t="s">
        <v>79</v>
      </c>
      <c r="C21" s="15">
        <f ca="1">((TODAY()-'📝 Instructions'!F8)/('📝 Instructions'!F9-'📝 Instructions'!F8-'📊 Summary'!I11-'📊 Summary'!I12))*'⏱ Input'!T4</f>
        <v>1.2380716175359032</v>
      </c>
      <c r="D21" s="15">
        <f>SUMIF(Master_Data[Lectures],"d",Master_Data[Duration (hh:mm)])</f>
        <v>0</v>
      </c>
      <c r="E21" s="20">
        <f t="shared" ca="1" si="0"/>
        <v>-1</v>
      </c>
      <c r="F21" s="15">
        <f>SUMIF(Master_Data[Lectures],"u",Master_Data[Duration (hh:mm)])</f>
        <v>7.2798611111111109</v>
      </c>
      <c r="G21" s="19" t="str">
        <f t="shared" si="1"/>
        <v>+100%</v>
      </c>
    </row>
    <row r="22" spans="2:14" ht="46.5" x14ac:dyDescent="0.3">
      <c r="B22" s="110" t="s">
        <v>83</v>
      </c>
      <c r="C22" s="15">
        <f ca="1">C16*('📊 Summary'!$I$10/24)</f>
        <v>1.1692176870748301</v>
      </c>
      <c r="D22" s="15">
        <f>D16*('📊 Summary'!$I$10/24)</f>
        <v>0</v>
      </c>
      <c r="E22" s="20">
        <f t="shared" ca="1" si="0"/>
        <v>-1</v>
      </c>
      <c r="F22" s="15">
        <f>F16*('📊 Summary'!$I$10/24)</f>
        <v>6.875</v>
      </c>
      <c r="G22" s="19" t="str">
        <f t="shared" si="1"/>
        <v>+100%</v>
      </c>
    </row>
    <row r="23" spans="2:14" ht="31" x14ac:dyDescent="0.3">
      <c r="B23" s="109" t="s">
        <v>77</v>
      </c>
      <c r="C23" s="15"/>
      <c r="D23" s="15"/>
      <c r="E23" s="20"/>
      <c r="F23" s="15"/>
      <c r="G23" s="19"/>
    </row>
    <row r="24" spans="2:14" ht="31" x14ac:dyDescent="0.3">
      <c r="B24" s="109" t="s">
        <v>84</v>
      </c>
      <c r="C24" s="126">
        <f ca="1">C16/C$17</f>
        <v>0.7857142857142857</v>
      </c>
      <c r="D24" s="126">
        <f ca="1">D16/D$17</f>
        <v>0</v>
      </c>
      <c r="E24" s="20">
        <f t="shared" ref="E24:E27" ca="1" si="2">IF((D24-C24)/C24&gt;0,"+"&amp;ROUND(((D24-C24)/C24)*100,0)&amp;"%",ROUND(((D24-C24)/C24),2))</f>
        <v>-1</v>
      </c>
      <c r="F24" s="126">
        <f ca="1">IFERROR(F16/F$17,"-")</f>
        <v>0.94672131147540994</v>
      </c>
      <c r="G24" s="19" t="str">
        <f ca="1">IFERROR(IF((F24-D24)/F24&gt;0,"+"&amp;ROUND(((F24-D24)/F24)*100,0)&amp;"%",ROUND(((F24-D24)/F24),2)),"-")</f>
        <v>+100%</v>
      </c>
      <c r="H24" s="127"/>
    </row>
    <row r="25" spans="2:14" ht="31" x14ac:dyDescent="0.3">
      <c r="B25" s="109" t="s">
        <v>80</v>
      </c>
      <c r="C25" s="9">
        <f ca="1">C26+C27</f>
        <v>0.33702050264550265</v>
      </c>
      <c r="D25" s="9">
        <f ca="1">D26+D27</f>
        <v>0</v>
      </c>
      <c r="E25" s="20">
        <f t="shared" ca="1" si="2"/>
        <v>-1</v>
      </c>
      <c r="F25" s="9">
        <f ca="1">IFERROR(F26+F27,"-")</f>
        <v>0.40608208105646637</v>
      </c>
      <c r="G25" s="19" t="str">
        <f t="shared" ref="G25:G27" ca="1" si="3">IFERROR(IF((F25-D25)/F25&gt;0,"+"&amp;ROUND(((F25-D25)/F25)*100,0)&amp;"%",ROUND(((F25-D25)/F25),2)),"-")</f>
        <v>+100%</v>
      </c>
    </row>
    <row r="26" spans="2:14" ht="31" x14ac:dyDescent="0.3">
      <c r="B26" s="110" t="s">
        <v>79</v>
      </c>
      <c r="C26" s="15">
        <f ca="1">C21/C$17</f>
        <v>0.17333002645502643</v>
      </c>
      <c r="D26" s="15">
        <f ca="1">D21/D$17</f>
        <v>0</v>
      </c>
      <c r="E26" s="20">
        <f t="shared" ca="1" si="2"/>
        <v>-1</v>
      </c>
      <c r="F26" s="15">
        <f ca="1">IFERROR(F21/F$17,"-")</f>
        <v>0.20884847449908928</v>
      </c>
      <c r="G26" s="19" t="str">
        <f t="shared" ca="1" si="3"/>
        <v>+100%</v>
      </c>
    </row>
    <row r="27" spans="2:14" ht="46.5" x14ac:dyDescent="0.3">
      <c r="B27" s="110" t="s">
        <v>83</v>
      </c>
      <c r="C27" s="15">
        <f ca="1">C22/C$17</f>
        <v>0.16369047619047619</v>
      </c>
      <c r="D27" s="15">
        <f ca="1">D22/D$17</f>
        <v>0</v>
      </c>
      <c r="E27" s="20">
        <f t="shared" ca="1" si="2"/>
        <v>-1</v>
      </c>
      <c r="F27" s="15">
        <f ca="1">IFERROR(F22/F$17,"-")</f>
        <v>0.19723360655737707</v>
      </c>
      <c r="G27" s="19" t="str">
        <f t="shared" ca="1" si="3"/>
        <v>+100%</v>
      </c>
    </row>
    <row r="28" spans="2:14" ht="31" x14ac:dyDescent="0.3">
      <c r="B28" s="109" t="s">
        <v>78</v>
      </c>
      <c r="C28" s="15"/>
      <c r="D28" s="15"/>
      <c r="E28" s="20"/>
      <c r="F28" s="15"/>
      <c r="G28" s="19"/>
    </row>
    <row r="29" spans="2:14" ht="31" x14ac:dyDescent="0.3">
      <c r="B29" s="109" t="s">
        <v>84</v>
      </c>
      <c r="C29" s="126">
        <f ca="1">C16/C$18</f>
        <v>0.11224489795918367</v>
      </c>
      <c r="D29" s="126">
        <f ca="1">D16/D$18</f>
        <v>0</v>
      </c>
      <c r="E29" s="20">
        <f t="shared" ref="E29:E32" ca="1" si="4">IF((D29-C29)/C29&gt;0,"+"&amp;ROUND(((D29-C29)/C29)*100,0)&amp;"%",ROUND(((D29-C29)/C29),2))</f>
        <v>-1</v>
      </c>
      <c r="F29" s="126">
        <f ca="1">IFERROR(F16/F$18,"-")</f>
        <v>0.13524590163934427</v>
      </c>
      <c r="G29" s="19" t="str">
        <f t="shared" ref="G29:G32" ca="1" si="5">IFERROR(IF((F29-D29)/F29&gt;0,"+"&amp;ROUND(((F29-D29)/F29)*100,0)&amp;"%",ROUND(((F29-D29)/F29),2)),"-")</f>
        <v>+100%</v>
      </c>
    </row>
    <row r="30" spans="2:14" ht="31" x14ac:dyDescent="0.3">
      <c r="B30" s="109" t="s">
        <v>80</v>
      </c>
      <c r="C30" s="9">
        <f ca="1">C31+C32</f>
        <v>4.8145786092214662E-2</v>
      </c>
      <c r="D30" s="9">
        <f ca="1">D31+D32</f>
        <v>0</v>
      </c>
      <c r="E30" s="20">
        <f t="shared" ca="1" si="4"/>
        <v>-1</v>
      </c>
      <c r="F30" s="9">
        <f ca="1">IFERROR(F31+F32,"-")</f>
        <v>5.8011725865209474E-2</v>
      </c>
      <c r="G30" s="19" t="str">
        <f t="shared" ca="1" si="5"/>
        <v>+100%</v>
      </c>
    </row>
    <row r="31" spans="2:14" ht="31" x14ac:dyDescent="0.3">
      <c r="B31" s="110" t="s">
        <v>79</v>
      </c>
      <c r="C31" s="15">
        <f ca="1">C21/C$18</f>
        <v>2.4761432350718066E-2</v>
      </c>
      <c r="D31" s="15">
        <f ca="1">D21/D$18</f>
        <v>0</v>
      </c>
      <c r="E31" s="20">
        <f t="shared" ca="1" si="4"/>
        <v>-1</v>
      </c>
      <c r="F31" s="15">
        <f ca="1">IFERROR(F21/F$18,"-")</f>
        <v>2.9835496357012749E-2</v>
      </c>
      <c r="G31" s="19" t="str">
        <f t="shared" ca="1" si="5"/>
        <v>+100%</v>
      </c>
    </row>
    <row r="32" spans="2:14" ht="46.5" x14ac:dyDescent="0.3">
      <c r="B32" s="110" t="s">
        <v>83</v>
      </c>
      <c r="C32" s="15">
        <f ca="1">C22/C$18</f>
        <v>2.33843537414966E-2</v>
      </c>
      <c r="D32" s="15">
        <f ca="1">D22/D$18</f>
        <v>0</v>
      </c>
      <c r="E32" s="20">
        <f t="shared" ca="1" si="4"/>
        <v>-1</v>
      </c>
      <c r="F32" s="15">
        <f ca="1">IFERROR(F22/F$18,"-")</f>
        <v>2.8176229508196721E-2</v>
      </c>
      <c r="G32" s="19" t="str">
        <f t="shared" ca="1" si="5"/>
        <v>+100%</v>
      </c>
    </row>
    <row r="33" spans="2:7" ht="15.5" x14ac:dyDescent="0.3">
      <c r="B33" s="111"/>
      <c r="C33" s="85"/>
      <c r="D33" s="85"/>
      <c r="E33" s="112"/>
      <c r="F33" s="85"/>
      <c r="G33" s="72"/>
    </row>
    <row r="34" spans="2:7" ht="15.5" x14ac:dyDescent="0.3">
      <c r="B34" s="121" t="s">
        <v>69</v>
      </c>
      <c r="C34" s="121"/>
      <c r="D34" s="85"/>
      <c r="E34" s="112"/>
      <c r="F34" s="85"/>
      <c r="G34" s="72"/>
    </row>
    <row r="35" spans="2:7" ht="15.5" x14ac:dyDescent="0.3">
      <c r="B35" s="122" t="s">
        <v>65</v>
      </c>
      <c r="C35" s="85">
        <f ca="1">(C42*((('📊 Summary'!I8*5)/24)/((('📊 Summary'!I8*5)+('📊 Summary'!I9*2))/24)))/5</f>
        <v>3.5621235180391786E-2</v>
      </c>
      <c r="D35" s="85"/>
      <c r="E35" s="112"/>
      <c r="F35" s="85"/>
      <c r="G35" s="72"/>
    </row>
    <row r="36" spans="2:7" ht="15.5" x14ac:dyDescent="0.3">
      <c r="B36" s="122" t="s">
        <v>66</v>
      </c>
      <c r="C36" s="85">
        <f ca="1">(C42*((('📊 Summary'!I9*2)/24)/((('📊 Summary'!I8*5)+('📊 Summary'!I9*2))/24)))/2</f>
        <v>0.11398795257725369</v>
      </c>
      <c r="D36" s="85"/>
      <c r="E36" s="112"/>
      <c r="F36" s="85"/>
      <c r="G36" s="72"/>
    </row>
    <row r="37" spans="2:7" ht="15.5" x14ac:dyDescent="0.3">
      <c r="B37" s="123"/>
      <c r="C37" s="123"/>
      <c r="D37" s="85"/>
      <c r="E37" s="112"/>
      <c r="F37" s="85"/>
      <c r="G37" s="72"/>
    </row>
    <row r="38" spans="2:7" ht="15.5" x14ac:dyDescent="0.3">
      <c r="B38" s="121" t="s">
        <v>67</v>
      </c>
      <c r="C38" s="85"/>
      <c r="D38" s="85"/>
      <c r="E38" s="112"/>
      <c r="F38" s="85"/>
      <c r="G38" s="72"/>
    </row>
    <row r="39" spans="2:7" ht="15.5" x14ac:dyDescent="0.3">
      <c r="B39" s="124" t="s">
        <v>62</v>
      </c>
      <c r="C39" s="85">
        <f>F21</f>
        <v>7.2798611111111109</v>
      </c>
      <c r="D39" s="85"/>
      <c r="E39" s="112"/>
      <c r="F39" s="85"/>
      <c r="G39" s="72"/>
    </row>
    <row r="40" spans="2:7" ht="15.5" x14ac:dyDescent="0.3">
      <c r="B40" s="124" t="s">
        <v>26</v>
      </c>
      <c r="C40" s="85">
        <f>F22</f>
        <v>6.875</v>
      </c>
      <c r="D40" s="85"/>
      <c r="E40" s="112"/>
      <c r="F40" s="85"/>
      <c r="G40" s="72"/>
    </row>
    <row r="41" spans="2:7" ht="15.5" x14ac:dyDescent="0.3">
      <c r="B41" s="122" t="s">
        <v>63</v>
      </c>
      <c r="C41" s="125">
        <f>SUM(C39:C40)</f>
        <v>14.15486111111111</v>
      </c>
      <c r="D41" s="85"/>
      <c r="E41" s="112"/>
      <c r="F41" s="85"/>
      <c r="G41" s="72"/>
    </row>
    <row r="42" spans="2:7" ht="15.5" x14ac:dyDescent="0.3">
      <c r="B42" s="122" t="s">
        <v>68</v>
      </c>
      <c r="C42" s="85">
        <f ca="1">C41/F17</f>
        <v>0.40608208105646632</v>
      </c>
      <c r="D42" s="85"/>
      <c r="E42" s="112"/>
      <c r="F42" s="85"/>
      <c r="G42" s="72"/>
    </row>
    <row r="43" spans="2:7" ht="15.5" x14ac:dyDescent="0.3">
      <c r="B43" s="111"/>
      <c r="C43" s="85"/>
      <c r="D43" s="85"/>
      <c r="E43" s="112"/>
      <c r="F43" s="85"/>
      <c r="G43" s="72"/>
    </row>
    <row r="44" spans="2:7" ht="15.5" x14ac:dyDescent="0.3">
      <c r="B44" s="111"/>
      <c r="C44" s="85"/>
      <c r="D44" s="85"/>
      <c r="E44" s="112"/>
      <c r="F44" s="85"/>
      <c r="G44" s="72"/>
    </row>
    <row r="45" spans="2:7" x14ac:dyDescent="0.3">
      <c r="C45" s="104"/>
      <c r="D45" s="104"/>
    </row>
    <row r="46" spans="2:7" x14ac:dyDescent="0.3">
      <c r="B46" s="113" t="s">
        <v>13</v>
      </c>
      <c r="C46" s="80"/>
      <c r="D46" s="80"/>
      <c r="E46" s="80"/>
    </row>
    <row r="47" spans="2:7" x14ac:dyDescent="0.3">
      <c r="B47" s="80" t="s">
        <v>15</v>
      </c>
      <c r="C47" s="114">
        <f>D47/$D$51</f>
        <v>0</v>
      </c>
      <c r="D47" s="80">
        <f>SUMIFS(Master_Data[No. of Chapters],Master_Data[Lectures],"d",Master_Data[Self Study],"d")</f>
        <v>0</v>
      </c>
      <c r="E47" s="114" t="str">
        <f>IF(C47=0,"",CONCATENATE(B47,", ",ROUND(D47,0)))</f>
        <v/>
      </c>
    </row>
    <row r="48" spans="2:7" x14ac:dyDescent="0.3">
      <c r="B48" s="80" t="s">
        <v>146</v>
      </c>
      <c r="C48" s="114">
        <f t="shared" ref="C48:C51" ca="1" si="6">D48/$D$51</f>
        <v>0</v>
      </c>
      <c r="D48" s="115">
        <f ca="1">IF(C16&lt;D16,D16-C16,0)</f>
        <v>0</v>
      </c>
      <c r="E48" s="114" t="str">
        <f t="shared" ref="E48:E50" ca="1" si="7">IF(C48=0,"",CONCATENATE(B48,", ",ROUND(D48,0)))</f>
        <v/>
      </c>
    </row>
    <row r="49" spans="2:14" x14ac:dyDescent="0.3">
      <c r="B49" s="80" t="s">
        <v>147</v>
      </c>
      <c r="C49" s="114">
        <f t="shared" ca="1" si="6"/>
        <v>0.17006802721088435</v>
      </c>
      <c r="D49" s="115">
        <f ca="1">IF(C16&gt;D16,C16-D16,0)</f>
        <v>5.6122448979591839</v>
      </c>
      <c r="E49" s="114" t="str">
        <f t="shared" ca="1" si="7"/>
        <v>Extra Undone, 6</v>
      </c>
    </row>
    <row r="50" spans="2:14" x14ac:dyDescent="0.3">
      <c r="B50" s="80" t="s">
        <v>16</v>
      </c>
      <c r="C50" s="114">
        <f t="shared" ca="1" si="6"/>
        <v>0.82993197278911568</v>
      </c>
      <c r="D50" s="116">
        <f ca="1">D51-D47-D49</f>
        <v>27.387755102040817</v>
      </c>
      <c r="E50" s="114" t="str">
        <f t="shared" ca="1" si="7"/>
        <v>Undone, 27</v>
      </c>
    </row>
    <row r="51" spans="2:14" x14ac:dyDescent="0.3">
      <c r="B51" s="80" t="s">
        <v>7</v>
      </c>
      <c r="C51" s="114">
        <f t="shared" si="6"/>
        <v>1</v>
      </c>
      <c r="D51" s="116">
        <f>'⏱ Input'!V4</f>
        <v>33</v>
      </c>
      <c r="E51" s="114"/>
    </row>
    <row r="53" spans="2:14" x14ac:dyDescent="0.3">
      <c r="B53" s="113" t="s">
        <v>144</v>
      </c>
      <c r="C53" s="80"/>
      <c r="D53" s="80"/>
      <c r="E53" s="80"/>
      <c r="N53" s="117"/>
    </row>
    <row r="54" spans="2:14" x14ac:dyDescent="0.3">
      <c r="B54" s="80" t="s">
        <v>15</v>
      </c>
      <c r="C54" s="114">
        <f>D54/$D$58</f>
        <v>0</v>
      </c>
      <c r="D54" s="129">
        <f>'⏱ Input'!T5</f>
        <v>0</v>
      </c>
      <c r="E54" s="80" t="str">
        <f>IF(C54=0,"",CONCATENATE(B54,", ",TEXT(D54,"[h]")))</f>
        <v/>
      </c>
      <c r="G54" s="117"/>
    </row>
    <row r="55" spans="2:14" x14ac:dyDescent="0.3">
      <c r="B55" s="80" t="s">
        <v>146</v>
      </c>
      <c r="C55" s="114">
        <f t="shared" ref="C55:C58" ca="1" si="8">D55/$D$58</f>
        <v>0</v>
      </c>
      <c r="D55" s="129">
        <f ca="1">IF(C21&lt;D21,D21-C21,0)</f>
        <v>0</v>
      </c>
      <c r="E55" s="114" t="str">
        <f ca="1">IF(C55=0,"",CONCATENATE(B55,", ",TEXT(D55,"[h]")))</f>
        <v/>
      </c>
    </row>
    <row r="56" spans="2:14" x14ac:dyDescent="0.3">
      <c r="B56" s="80" t="s">
        <v>147</v>
      </c>
      <c r="C56" s="114">
        <f t="shared" ca="1" si="8"/>
        <v>0.17006802721088435</v>
      </c>
      <c r="D56" s="129">
        <f ca="1">IF(C21&gt;D21,C21-D21,0)</f>
        <v>1.2380716175359032</v>
      </c>
      <c r="E56" s="114" t="str">
        <f ca="1">IF(C56=0,"",CONCATENATE(B56,", ",TEXT(D56,"[h]")))</f>
        <v>Extra Undone, 29</v>
      </c>
    </row>
    <row r="57" spans="2:14" x14ac:dyDescent="0.3">
      <c r="B57" s="80" t="s">
        <v>16</v>
      </c>
      <c r="C57" s="114">
        <f t="shared" ca="1" si="8"/>
        <v>0.82993197278911568</v>
      </c>
      <c r="D57" s="129">
        <f ca="1">D58-D54-D56</f>
        <v>6.0417894935752079</v>
      </c>
      <c r="E57" s="114" t="str">
        <f ca="1">IF(C57=0,"",CONCATENATE(B57,", ",TEXT(D57,"[h]")))</f>
        <v>Undone, 145</v>
      </c>
    </row>
    <row r="58" spans="2:14" x14ac:dyDescent="0.3">
      <c r="B58" s="80" t="s">
        <v>7</v>
      </c>
      <c r="C58" s="114">
        <f t="shared" si="8"/>
        <v>1</v>
      </c>
      <c r="D58" s="129">
        <f>'⏱ Input'!T4</f>
        <v>7.2798611111111109</v>
      </c>
      <c r="E58" s="114"/>
    </row>
    <row r="60" spans="2:14" x14ac:dyDescent="0.3">
      <c r="B60" s="113" t="s">
        <v>145</v>
      </c>
      <c r="C60" s="80"/>
      <c r="D60" s="80"/>
      <c r="E60" s="80"/>
    </row>
    <row r="61" spans="2:14" x14ac:dyDescent="0.3">
      <c r="B61" s="80" t="s">
        <v>15</v>
      </c>
      <c r="C61" s="114">
        <f>D61/$D$65</f>
        <v>0</v>
      </c>
      <c r="D61" s="129">
        <f>'⏱ Input'!W5*('📊 Summary'!I10/24)</f>
        <v>0</v>
      </c>
      <c r="E61" s="114" t="str">
        <f>IF(C61=0,"",CONCATENATE(B61,", ",TEXT(D61,"[h]")))</f>
        <v/>
      </c>
    </row>
    <row r="62" spans="2:14" x14ac:dyDescent="0.3">
      <c r="B62" s="80" t="s">
        <v>146</v>
      </c>
      <c r="C62" s="114">
        <f t="shared" ref="C62:C65" ca="1" si="9">D62/$D$65</f>
        <v>0</v>
      </c>
      <c r="D62" s="129">
        <f ca="1">IF(C22&lt;D22,D22-C22,0)</f>
        <v>0</v>
      </c>
      <c r="E62" s="114" t="str">
        <f ca="1">IF(C62=0,"",CONCATENATE(B62,", ",TEXT(D62,"[h]")))</f>
        <v/>
      </c>
    </row>
    <row r="63" spans="2:14" x14ac:dyDescent="0.3">
      <c r="B63" s="80" t="s">
        <v>147</v>
      </c>
      <c r="C63" s="114">
        <f t="shared" ca="1" si="9"/>
        <v>0.17006802721088438</v>
      </c>
      <c r="D63" s="129">
        <f ca="1">IF(C22&gt;D22,C22-D22,0)</f>
        <v>1.1692176870748301</v>
      </c>
      <c r="E63" s="114" t="str">
        <f ca="1">IF(C63=0,"",CONCATENATE(B63,", ",TEXT(D63,"[h]")))</f>
        <v>Extra Undone, 28</v>
      </c>
    </row>
    <row r="64" spans="2:14" x14ac:dyDescent="0.3">
      <c r="B64" s="80" t="s">
        <v>16</v>
      </c>
      <c r="C64" s="114">
        <f t="shared" ca="1" si="9"/>
        <v>0.82993197278911557</v>
      </c>
      <c r="D64" s="129">
        <f ca="1">D65-D61-D63</f>
        <v>5.7057823129251695</v>
      </c>
      <c r="E64" s="114" t="str">
        <f ca="1">IF(C64=0,"",CONCATENATE(B64,", ",TEXT(D64,"[h]")))</f>
        <v>Undone, 136</v>
      </c>
    </row>
    <row r="65" spans="2:5" x14ac:dyDescent="0.3">
      <c r="B65" s="80" t="s">
        <v>7</v>
      </c>
      <c r="C65" s="114">
        <f t="shared" si="9"/>
        <v>1</v>
      </c>
      <c r="D65" s="129">
        <f>'⏱ Input'!V4*('📊 Summary'!I10/24)</f>
        <v>6.875</v>
      </c>
      <c r="E65" s="114"/>
    </row>
    <row r="66" spans="2:5" x14ac:dyDescent="0.3">
      <c r="C66" s="127"/>
      <c r="D66" s="128"/>
      <c r="E66" s="127"/>
    </row>
    <row r="67" spans="2:5" x14ac:dyDescent="0.3">
      <c r="B67" s="113" t="s">
        <v>156</v>
      </c>
      <c r="C67" s="80"/>
      <c r="D67" s="80"/>
      <c r="E67" s="80"/>
    </row>
    <row r="68" spans="2:5" x14ac:dyDescent="0.3">
      <c r="B68" s="80" t="s">
        <v>15</v>
      </c>
      <c r="C68" s="114">
        <f>D68/$D$72</f>
        <v>0</v>
      </c>
      <c r="D68" s="129">
        <f>D20</f>
        <v>0</v>
      </c>
      <c r="E68" s="114" t="str">
        <f>IF(C68=0,"",CONCATENATE(B68,", ",TEXT(D68,"[h]")))</f>
        <v/>
      </c>
    </row>
    <row r="69" spans="2:5" x14ac:dyDescent="0.3">
      <c r="B69" s="80" t="s">
        <v>146</v>
      </c>
      <c r="C69" s="114">
        <f t="shared" ref="C69:C72" ca="1" si="10">D69/$D$72</f>
        <v>0</v>
      </c>
      <c r="D69" s="129">
        <f ca="1">IF(C20&lt;D20,D20-C20,0)</f>
        <v>0</v>
      </c>
      <c r="E69" s="114" t="str">
        <f ca="1">IF(C69=0,"",CONCATENATE(B69,", ",TEXT(D69,"[h]")))</f>
        <v/>
      </c>
    </row>
    <row r="70" spans="2:5" x14ac:dyDescent="0.3">
      <c r="B70" s="80" t="s">
        <v>147</v>
      </c>
      <c r="C70" s="114">
        <f t="shared" ca="1" si="10"/>
        <v>0.1700680272108844</v>
      </c>
      <c r="D70" s="129">
        <f ca="1">IF(C20&gt;D20,C20-D20,0)</f>
        <v>2.4072893046107335</v>
      </c>
      <c r="E70" s="114" t="str">
        <f ca="1">IF(C70=0,"",CONCATENATE(B70,", ",TEXT(D70,"[h]")))</f>
        <v>Extra Undone, 57</v>
      </c>
    </row>
    <row r="71" spans="2:5" x14ac:dyDescent="0.3">
      <c r="B71" s="80" t="s">
        <v>16</v>
      </c>
      <c r="C71" s="114">
        <f t="shared" ca="1" si="10"/>
        <v>0.82993197278911557</v>
      </c>
      <c r="D71" s="129">
        <f ca="1">D72-D68-D70</f>
        <v>11.747571806500376</v>
      </c>
      <c r="E71" s="114" t="str">
        <f ca="1">IF(C71=0,"",CONCATENATE(B71,", ",TEXT(D71,"[h]")))</f>
        <v>Undone, 281</v>
      </c>
    </row>
    <row r="72" spans="2:5" x14ac:dyDescent="0.3">
      <c r="B72" s="80" t="s">
        <v>7</v>
      </c>
      <c r="C72" s="114">
        <f t="shared" si="10"/>
        <v>1</v>
      </c>
      <c r="D72" s="129">
        <f t="shared" ref="D72" si="11">D58+D65</f>
        <v>14.15486111111111</v>
      </c>
      <c r="E72" s="114"/>
    </row>
    <row r="73" spans="2:5" x14ac:dyDescent="0.3">
      <c r="C73" s="127"/>
      <c r="D73" s="128"/>
      <c r="E73" s="127"/>
    </row>
    <row r="74" spans="2:5" x14ac:dyDescent="0.3">
      <c r="C74" s="127"/>
      <c r="D74" s="128"/>
      <c r="E74" s="127"/>
    </row>
    <row r="75" spans="2:5" x14ac:dyDescent="0.3">
      <c r="C75" s="127"/>
      <c r="D75" s="128"/>
      <c r="E75" s="127"/>
    </row>
    <row r="77" spans="2:5" x14ac:dyDescent="0.3">
      <c r="B77" s="118" t="s">
        <v>139</v>
      </c>
      <c r="C77" s="81" t="s">
        <v>215</v>
      </c>
    </row>
    <row r="78" spans="2:5" x14ac:dyDescent="0.3">
      <c r="B78" s="119" t="s">
        <v>6</v>
      </c>
      <c r="C78" s="312">
        <v>33</v>
      </c>
    </row>
    <row r="79" spans="2:5" x14ac:dyDescent="0.3">
      <c r="B79" s="119" t="s">
        <v>140</v>
      </c>
      <c r="C79" s="312">
        <v>33</v>
      </c>
    </row>
    <row r="80" spans="2:5" ht="14.5" x14ac:dyDescent="0.35">
      <c r="B80"/>
      <c r="C80"/>
    </row>
    <row r="82" spans="2:3" x14ac:dyDescent="0.3">
      <c r="B82" s="118" t="s">
        <v>139</v>
      </c>
      <c r="C82" s="81" t="s">
        <v>215</v>
      </c>
    </row>
    <row r="83" spans="2:3" x14ac:dyDescent="0.3">
      <c r="B83" s="119" t="s">
        <v>6</v>
      </c>
      <c r="C83" s="312">
        <v>33</v>
      </c>
    </row>
    <row r="84" spans="2:3" x14ac:dyDescent="0.3">
      <c r="B84" s="119" t="s">
        <v>140</v>
      </c>
      <c r="C84" s="312">
        <v>33</v>
      </c>
    </row>
    <row r="85" spans="2:3" ht="14.5" x14ac:dyDescent="0.35">
      <c r="B85"/>
      <c r="C85"/>
    </row>
    <row r="87" spans="2:3" x14ac:dyDescent="0.3">
      <c r="B87" s="118" t="s">
        <v>139</v>
      </c>
      <c r="C87" s="81" t="s">
        <v>215</v>
      </c>
    </row>
    <row r="88" spans="2:3" x14ac:dyDescent="0.3">
      <c r="B88" s="119" t="s">
        <v>6</v>
      </c>
      <c r="C88" s="312">
        <v>33</v>
      </c>
    </row>
    <row r="89" spans="2:3" x14ac:dyDescent="0.3">
      <c r="B89" s="119" t="s">
        <v>140</v>
      </c>
      <c r="C89" s="312">
        <v>33</v>
      </c>
    </row>
    <row r="90" spans="2:3" ht="14.5" x14ac:dyDescent="0.35">
      <c r="B90"/>
      <c r="C90"/>
    </row>
    <row r="92" spans="2:3" x14ac:dyDescent="0.3">
      <c r="B92" s="118" t="s">
        <v>139</v>
      </c>
      <c r="C92" s="81" t="s">
        <v>215</v>
      </c>
    </row>
    <row r="93" spans="2:3" x14ac:dyDescent="0.3">
      <c r="B93" s="119" t="s">
        <v>6</v>
      </c>
      <c r="C93" s="312">
        <v>33</v>
      </c>
    </row>
    <row r="94" spans="2:3" x14ac:dyDescent="0.3">
      <c r="B94" s="119" t="s">
        <v>140</v>
      </c>
      <c r="C94" s="312">
        <v>33</v>
      </c>
    </row>
    <row r="95" spans="2:3" ht="14.5" x14ac:dyDescent="0.35">
      <c r="B95"/>
      <c r="C95"/>
    </row>
    <row r="97" spans="2:3" x14ac:dyDescent="0.3">
      <c r="B97" s="118" t="s">
        <v>139</v>
      </c>
      <c r="C97" s="81" t="s">
        <v>215</v>
      </c>
    </row>
    <row r="98" spans="2:3" x14ac:dyDescent="0.3">
      <c r="B98" s="119" t="s">
        <v>6</v>
      </c>
      <c r="C98" s="312">
        <v>33</v>
      </c>
    </row>
    <row r="99" spans="2:3" x14ac:dyDescent="0.3">
      <c r="B99" s="119" t="s">
        <v>140</v>
      </c>
      <c r="C99" s="312">
        <v>33</v>
      </c>
    </row>
    <row r="100" spans="2:3" ht="14.5" x14ac:dyDescent="0.35">
      <c r="B100"/>
      <c r="C100"/>
    </row>
  </sheetData>
  <mergeCells count="2">
    <mergeCell ref="B14:B15"/>
    <mergeCell ref="C14:E14"/>
  </mergeCells>
  <conditionalFormatting sqref="E16:E44">
    <cfRule type="cellIs" dxfId="33" priority="19" operator="lessThan">
      <formula>0</formula>
    </cfRule>
    <cfRule type="cellIs" dxfId="32" priority="20" operator="greaterThanOrEqual">
      <formula>0.0001</formula>
    </cfRule>
  </conditionalFormatting>
  <conditionalFormatting sqref="G16:G44">
    <cfRule type="cellIs" dxfId="31" priority="1" operator="lessThan">
      <formula>0</formula>
    </cfRule>
    <cfRule type="cellIs" dxfId="3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Siddhi Mukim</cp:lastModifiedBy>
  <cp:lastPrinted>2022-06-28T06:51:26Z</cp:lastPrinted>
  <dcterms:created xsi:type="dcterms:W3CDTF">2017-08-10T18:49:10Z</dcterms:created>
  <dcterms:modified xsi:type="dcterms:W3CDTF">2024-02-23T08:11:12Z</dcterms:modified>
</cp:coreProperties>
</file>